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defaultThemeVersion="124226"/>
  <bookViews>
    <workbookView xWindow="60" yWindow="-45" windowWidth="9720" windowHeight="7320" tabRatio="606"/>
  </bookViews>
  <sheets>
    <sheet name="ОЦК" sheetId="3" r:id="rId1"/>
  </sheets>
  <definedNames>
    <definedName name="_xlnm.Print_Area" localSheetId="0">ОЦК!$A$1:$L$75</definedName>
  </definedNames>
  <calcPr calcId="125725"/>
</workbook>
</file>

<file path=xl/calcChain.xml><?xml version="1.0" encoding="utf-8"?>
<calcChain xmlns="http://schemas.openxmlformats.org/spreadsheetml/2006/main">
  <c r="P6" i="3"/>
  <c r="P7"/>
  <c r="P8"/>
  <c r="P9"/>
  <c r="P10"/>
  <c r="P11"/>
  <c r="P12"/>
  <c r="P13"/>
  <c r="P14"/>
  <c r="P5"/>
  <c r="I32"/>
  <c r="J32" s="1"/>
  <c r="H32"/>
  <c r="F32"/>
  <c r="I31"/>
  <c r="J31" s="1"/>
  <c r="H31"/>
  <c r="F31"/>
  <c r="H30"/>
  <c r="I30" s="1"/>
  <c r="J30" s="1"/>
  <c r="F30"/>
  <c r="I29"/>
  <c r="J29" s="1"/>
  <c r="H29"/>
  <c r="F29"/>
  <c r="F28"/>
  <c r="H28" s="1"/>
  <c r="I28" s="1"/>
  <c r="J28" s="1"/>
  <c r="F27"/>
  <c r="H27" s="1"/>
  <c r="I27" s="1"/>
  <c r="J27" s="1"/>
  <c r="F26"/>
  <c r="H26" s="1"/>
  <c r="I26" s="1"/>
  <c r="J26" s="1"/>
  <c r="F25"/>
  <c r="H25" s="1"/>
  <c r="I25" s="1"/>
  <c r="J25" s="1"/>
  <c r="F24"/>
  <c r="H24" s="1"/>
  <c r="I24" s="1"/>
  <c r="J24" s="1"/>
  <c r="F23"/>
  <c r="H23" s="1"/>
  <c r="I23" s="1"/>
  <c r="J23" s="1"/>
  <c r="C6"/>
  <c r="C7"/>
  <c r="C8"/>
  <c r="C9"/>
  <c r="C10"/>
  <c r="C11"/>
  <c r="C12"/>
  <c r="C13"/>
  <c r="C14"/>
  <c r="C5"/>
  <c r="S13" l="1"/>
  <c r="E13" s="1"/>
  <c r="S14"/>
  <c r="E14" s="1"/>
  <c r="F14" s="1"/>
  <c r="J14" s="1"/>
  <c r="K14" s="1"/>
  <c r="S10"/>
  <c r="E10" s="1"/>
  <c r="S7"/>
  <c r="E7" s="1"/>
  <c r="S8"/>
  <c r="E8" s="1"/>
  <c r="F8" s="1"/>
  <c r="S9"/>
  <c r="E9" s="1"/>
  <c r="S11"/>
  <c r="E11" s="1"/>
  <c r="S12"/>
  <c r="E12" s="1"/>
  <c r="S5"/>
  <c r="E5" s="1"/>
  <c r="F9" l="1"/>
  <c r="J9" s="1"/>
  <c r="K9" s="1"/>
  <c r="J8"/>
  <c r="K8" s="1"/>
  <c r="G8"/>
  <c r="H8" s="1"/>
  <c r="F10"/>
  <c r="J10" s="1"/>
  <c r="K10" s="1"/>
  <c r="F7"/>
  <c r="J7" s="1"/>
  <c r="K7" s="1"/>
  <c r="F11"/>
  <c r="J11" s="1"/>
  <c r="K11" s="1"/>
  <c r="F5"/>
  <c r="J5" s="1"/>
  <c r="K5" s="1"/>
  <c r="S6"/>
  <c r="E6" s="1"/>
  <c r="F13"/>
  <c r="J13" s="1"/>
  <c r="K13" s="1"/>
  <c r="G14"/>
  <c r="H14" s="1"/>
  <c r="L14" s="1"/>
  <c r="F12"/>
  <c r="J12" s="1"/>
  <c r="K12" s="1"/>
  <c r="G10" l="1"/>
  <c r="H10" s="1"/>
  <c r="L10" s="1"/>
  <c r="G9"/>
  <c r="H9" s="1"/>
  <c r="L9" s="1"/>
  <c r="G5"/>
  <c r="H5" s="1"/>
  <c r="L5" s="1"/>
  <c r="L8"/>
  <c r="G7"/>
  <c r="H7" s="1"/>
  <c r="L7" s="1"/>
  <c r="G11"/>
  <c r="H11" s="1"/>
  <c r="L11" s="1"/>
  <c r="F6"/>
  <c r="J6" s="1"/>
  <c r="K6" s="1"/>
  <c r="G13"/>
  <c r="H13" s="1"/>
  <c r="L13" s="1"/>
  <c r="G12"/>
  <c r="H12" s="1"/>
  <c r="L12" s="1"/>
  <c r="G6" l="1"/>
  <c r="H6" s="1"/>
  <c r="L6" s="1"/>
  <c r="D16" s="1"/>
</calcChain>
</file>

<file path=xl/sharedStrings.xml><?xml version="1.0" encoding="utf-8"?>
<sst xmlns="http://schemas.openxmlformats.org/spreadsheetml/2006/main" count="45" uniqueCount="36">
  <si>
    <t>№ участка</t>
  </si>
  <si>
    <t>Тепловая нагрузка участка Q,Вт</t>
  </si>
  <si>
    <t>Расход воды на участке G,кг/ч</t>
  </si>
  <si>
    <t>Длина участка, L,м</t>
  </si>
  <si>
    <t>d условный,мм</t>
  </si>
  <si>
    <t>Скорость движения воды, w, м/с</t>
  </si>
  <si>
    <t>Потери давления на трение</t>
  </si>
  <si>
    <r>
      <t xml:space="preserve">Сумма КМС , </t>
    </r>
    <r>
      <rPr>
        <sz val="10"/>
        <rFont val="Arial Cyr"/>
        <charset val="204"/>
      </rPr>
      <t>ξ</t>
    </r>
  </si>
  <si>
    <t>P дин, Па</t>
  </si>
  <si>
    <t>Потеря давления в местных сопротивлениях Z, Па</t>
  </si>
  <si>
    <t>Сумма потерь давления RL+Z,  Па</t>
  </si>
  <si>
    <t>по длине участка, RL,Па</t>
  </si>
  <si>
    <r>
      <t>β</t>
    </r>
    <r>
      <rPr>
        <sz val="10"/>
        <rFont val="Arial"/>
        <family val="2"/>
        <charset val="204"/>
      </rPr>
      <t>1=</t>
    </r>
  </si>
  <si>
    <r>
      <t>β2</t>
    </r>
    <r>
      <rPr>
        <sz val="10"/>
        <rFont val="Arial"/>
        <family val="2"/>
        <charset val="204"/>
      </rPr>
      <t>=</t>
    </r>
  </si>
  <si>
    <t>Максимальная корость движения воды, w, м/с</t>
  </si>
  <si>
    <t>Минимально возможный условный,мм</t>
  </si>
  <si>
    <t>R, Па/м</t>
  </si>
  <si>
    <t>общие потери давления Па</t>
  </si>
  <si>
    <r>
      <rPr>
        <sz val="10"/>
        <rFont val="Calibri"/>
        <family val="2"/>
        <charset val="204"/>
      </rPr>
      <t>β</t>
    </r>
    <r>
      <rPr>
        <sz val="10"/>
        <rFont val="Arial"/>
        <family val="2"/>
        <charset val="204"/>
      </rPr>
      <t>1</t>
    </r>
  </si>
  <si>
    <r>
      <rPr>
        <sz val="10"/>
        <rFont val="Calibri"/>
        <family val="2"/>
        <charset val="204"/>
      </rPr>
      <t>β</t>
    </r>
    <r>
      <rPr>
        <sz val="10"/>
        <rFont val="Arial"/>
        <family val="2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</si>
  <si>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0"/>
        <rFont val="Calibri"/>
        <family val="2"/>
        <charset val="204"/>
      </rPr>
      <t>β</t>
    </r>
    <r>
      <rPr>
        <sz val="10"/>
        <rFont val="Arial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</si>
  <si>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0"/>
        <rFont val="Calibri"/>
        <family val="2"/>
        <charset val="204"/>
      </rPr>
      <t>β</t>
    </r>
    <r>
      <rPr>
        <sz val="10"/>
        <rFont val="Arial"/>
        <family val="2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</si>
  <si>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t>Расчет поверхности отопительных приборов</t>
  </si>
  <si>
    <r>
      <t>№</t>
    </r>
    <r>
      <rPr>
        <sz val="10"/>
        <rFont val="Arial"/>
      </rPr>
      <t xml:space="preserve"> помещения</t>
    </r>
  </si>
  <si>
    <r>
      <t>Q</t>
    </r>
    <r>
      <rPr>
        <sz val="8"/>
        <rFont val="Arial Cyr"/>
        <family val="2"/>
        <charset val="204"/>
      </rPr>
      <t>mn, Вт</t>
    </r>
  </si>
  <si>
    <r>
      <t>t</t>
    </r>
    <r>
      <rPr>
        <sz val="8"/>
        <rFont val="Arial Cyr"/>
        <family val="2"/>
        <charset val="204"/>
      </rPr>
      <t>в</t>
    </r>
    <r>
      <rPr>
        <sz val="10"/>
        <rFont val="Arial"/>
      </rPr>
      <t xml:space="preserve">, </t>
    </r>
    <r>
      <rPr>
        <sz val="10"/>
        <rFont val="Arial CYR"/>
        <family val="2"/>
        <charset val="204"/>
      </rPr>
      <t>ºC</t>
    </r>
  </si>
  <si>
    <r>
      <t>t</t>
    </r>
    <r>
      <rPr>
        <sz val="10"/>
        <rFont val="Arial CYR"/>
        <family val="2"/>
        <charset val="204"/>
      </rPr>
      <t>вх</t>
    </r>
  </si>
  <si>
    <r>
      <t>t</t>
    </r>
    <r>
      <rPr>
        <sz val="10"/>
        <rFont val="Arial CYR"/>
        <family val="2"/>
        <charset val="204"/>
      </rPr>
      <t>вых</t>
    </r>
  </si>
  <si>
    <t>∆t</t>
  </si>
  <si>
    <t>Схема</t>
  </si>
  <si>
    <r>
      <t>q</t>
    </r>
    <r>
      <rPr>
        <sz val="10"/>
        <rFont val="Arial CYR"/>
        <family val="2"/>
        <charset val="204"/>
      </rPr>
      <t>n, Вт/м2</t>
    </r>
  </si>
  <si>
    <r>
      <t>Fпр</t>
    </r>
    <r>
      <rPr>
        <sz val="10"/>
        <rFont val="Arial"/>
      </rPr>
      <t>, м2</t>
    </r>
  </si>
  <si>
    <r>
      <t>N</t>
    </r>
    <r>
      <rPr>
        <sz val="10"/>
        <rFont val="Arial"/>
      </rPr>
      <t>p</t>
    </r>
  </si>
  <si>
    <r>
      <t>N</t>
    </r>
    <r>
      <rPr>
        <sz val="10"/>
        <rFont val="Arial CYR"/>
        <family val="2"/>
        <charset val="204"/>
      </rPr>
      <t>уст</t>
    </r>
  </si>
  <si>
    <t>сверху-вниз</t>
  </si>
  <si>
    <t>Fпр, м2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</si>
</sst>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9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164" fontId="0" fillId="0" borderId="0" xfId="0" applyNumberFormat="1" applyAlignment="1">
      <alignment horizontal="center" vertical="center"/>
    </xf>
    <xf numFmtId="1" fontId="0" fillId="0" borderId="0" xfId="0" applyNumberFormat="1"/>
    <xf numFmtId="3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/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0" fillId="0" borderId="0" xfId="0" applyNumberFormat="1"/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left" wrapText="1" indent="2"/>
    </xf>
    <xf numFmtId="3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Normal="100" zoomScaleSheetLayoutView="100" workbookViewId="0">
      <pane xSplit="12" ySplit="4" topLeftCell="M5" activePane="bottomRight" state="frozen"/>
      <selection pane="topRight" activeCell="I1" sqref="I1"/>
      <selection pane="bottomLeft" activeCell="A12" sqref="A12"/>
      <selection pane="bottomRight" activeCell="K32" sqref="A20:K32"/>
    </sheetView>
  </sheetViews>
  <sheetFormatPr defaultRowHeight="12.75"/>
  <cols>
    <col min="3" max="3" width="9.5703125" customWidth="1"/>
    <col min="4" max="4" width="13.140625" bestFit="1" customWidth="1"/>
    <col min="6" max="6" width="9.28515625" customWidth="1"/>
    <col min="7" max="7" width="10.5703125" customWidth="1"/>
    <col min="11" max="11" width="11.5703125" customWidth="1"/>
    <col min="16" max="16" width="10.7109375" customWidth="1"/>
    <col min="19" max="19" width="9.42578125" customWidth="1"/>
  </cols>
  <sheetData>
    <row r="1" spans="1:19" ht="12.75" customHeight="1">
      <c r="A1" s="25" t="s">
        <v>0</v>
      </c>
      <c r="B1" s="28" t="s">
        <v>1</v>
      </c>
      <c r="C1" s="28" t="s">
        <v>2</v>
      </c>
      <c r="D1" s="28" t="s">
        <v>3</v>
      </c>
      <c r="E1" s="34" t="s">
        <v>4</v>
      </c>
      <c r="F1" s="34" t="s">
        <v>5</v>
      </c>
      <c r="G1" s="41" t="s">
        <v>6</v>
      </c>
      <c r="H1" s="41"/>
      <c r="I1" s="41" t="s">
        <v>7</v>
      </c>
      <c r="J1" s="41" t="s">
        <v>8</v>
      </c>
      <c r="K1" s="41" t="s">
        <v>9</v>
      </c>
      <c r="L1" s="41" t="s">
        <v>10</v>
      </c>
      <c r="M1" s="42" t="s">
        <v>18</v>
      </c>
      <c r="N1" s="42" t="s">
        <v>19</v>
      </c>
      <c r="O1" s="65" t="s">
        <v>35</v>
      </c>
      <c r="P1" s="42" t="s">
        <v>20</v>
      </c>
      <c r="Q1" s="42" t="s">
        <v>21</v>
      </c>
      <c r="R1" s="37" t="s">
        <v>14</v>
      </c>
      <c r="S1" s="31" t="s">
        <v>15</v>
      </c>
    </row>
    <row r="2" spans="1:19">
      <c r="A2" s="26"/>
      <c r="B2" s="29"/>
      <c r="C2" s="29"/>
      <c r="D2" s="29"/>
      <c r="E2" s="33"/>
      <c r="F2" s="33"/>
      <c r="G2" s="41" t="s">
        <v>16</v>
      </c>
      <c r="H2" s="41" t="s">
        <v>11</v>
      </c>
      <c r="I2" s="41"/>
      <c r="J2" s="41"/>
      <c r="K2" s="41"/>
      <c r="L2" s="41"/>
      <c r="M2" s="41"/>
      <c r="N2" s="41"/>
      <c r="O2" s="66"/>
      <c r="P2" s="41"/>
      <c r="Q2" s="41"/>
      <c r="R2" s="38"/>
      <c r="S2" s="32"/>
    </row>
    <row r="3" spans="1:19">
      <c r="A3" s="26"/>
      <c r="B3" s="29"/>
      <c r="C3" s="29"/>
      <c r="D3" s="29"/>
      <c r="E3" s="33"/>
      <c r="F3" s="33"/>
      <c r="G3" s="41"/>
      <c r="H3" s="41"/>
      <c r="I3" s="41"/>
      <c r="J3" s="41"/>
      <c r="K3" s="41"/>
      <c r="L3" s="41"/>
      <c r="M3" s="41"/>
      <c r="N3" s="41"/>
      <c r="O3" s="66"/>
      <c r="P3" s="41"/>
      <c r="Q3" s="41"/>
      <c r="R3" s="38"/>
      <c r="S3" s="32"/>
    </row>
    <row r="4" spans="1:19" ht="26.25" customHeight="1" thickBot="1">
      <c r="A4" s="27"/>
      <c r="B4" s="30"/>
      <c r="C4" s="30"/>
      <c r="D4" s="30"/>
      <c r="E4" s="35"/>
      <c r="F4" s="35"/>
      <c r="G4" s="41"/>
      <c r="H4" s="41"/>
      <c r="I4" s="41"/>
      <c r="J4" s="41"/>
      <c r="K4" s="41"/>
      <c r="L4" s="41"/>
      <c r="M4" s="41"/>
      <c r="N4" s="41"/>
      <c r="O4" s="67"/>
      <c r="P4" s="41"/>
      <c r="Q4" s="41"/>
      <c r="R4" s="38"/>
      <c r="S4" s="32"/>
    </row>
    <row r="5" spans="1:19" ht="15.75">
      <c r="A5" s="9">
        <v>1</v>
      </c>
      <c r="B5" s="12">
        <v>2267.4</v>
      </c>
      <c r="C5" s="10">
        <f>(3.6*B5)/(4.19*(95-70))</f>
        <v>77.924964200477319</v>
      </c>
      <c r="D5" s="22">
        <v>16</v>
      </c>
      <c r="E5" s="12">
        <f>IF(S5&lt;15,15,IF(S5&lt;20,20,IF(S5&lt;25,25,IF(S5&lt;32,32,IF(S5&lt;40,50,IF(S5&lt;65,65,IF(S5&lt;80,80,IF(S5&lt;100,100,0))))))))</f>
        <v>15</v>
      </c>
      <c r="F5" s="13">
        <f>C5*4/(3600000*3.14*(E5/1000)^2)</f>
        <v>0.1225524324926906</v>
      </c>
      <c r="G5" s="39">
        <f>(0.11*(0.2/E5+68/(F5*E5*0.001*1000000/0.365))^0.25/(E5*0.001))*961.4*(F5^2)/2</f>
        <v>21.428657860184209</v>
      </c>
      <c r="H5" s="36">
        <f>G5*D5</f>
        <v>342.85852576294735</v>
      </c>
      <c r="I5" s="40">
        <v>12.4</v>
      </c>
      <c r="J5" s="36">
        <f>961.4*(F5^2)/2</f>
        <v>7.2196807498371465</v>
      </c>
      <c r="K5" s="36">
        <f>J5*I5</f>
        <v>89.524041297980617</v>
      </c>
      <c r="L5" s="36">
        <f>K5+H5</f>
        <v>432.38256706092795</v>
      </c>
      <c r="M5" s="43">
        <v>1.036</v>
      </c>
      <c r="N5" s="43">
        <v>1.0229999999999999</v>
      </c>
      <c r="O5" s="55">
        <v>4.9359999999999999</v>
      </c>
      <c r="P5" s="68">
        <f>0.97+0.06/O5</f>
        <v>0.98215559157212318</v>
      </c>
      <c r="Q5" s="36">
        <v>1</v>
      </c>
      <c r="R5">
        <v>0.4</v>
      </c>
      <c r="S5" s="14">
        <f>(C5*4/(3600000*3.14*R5))^(1/2)*1000</f>
        <v>8.3027551618205901</v>
      </c>
    </row>
    <row r="6" spans="1:19" ht="15.75">
      <c r="A6" s="18">
        <v>2</v>
      </c>
      <c r="B6" s="19">
        <v>2076.1999999999998</v>
      </c>
      <c r="C6" s="10">
        <f t="shared" ref="C6:C14" si="0">(3.6*B6)/(4.19*(95-70))</f>
        <v>71.353890214797119</v>
      </c>
      <c r="D6" s="22">
        <v>16</v>
      </c>
      <c r="E6" s="19">
        <f t="shared" ref="E6:E14" si="1">IF(S6&lt;15,15,IF(S6&lt;20,20,IF(S6&lt;25,25,IF(S6&lt;32,32,IF(S6&lt;40,50,IF(S6&lt;65,65,IF(S6&lt;80,80,IF(S6&lt;100,100,0))))))))</f>
        <v>15</v>
      </c>
      <c r="F6" s="21">
        <f t="shared" ref="F6:F14" si="2">C6*4/(3600000*3.14*(E6/1000)^2)</f>
        <v>0.11221811781834885</v>
      </c>
      <c r="G6" s="21">
        <f t="shared" ref="G6:G14" si="3">(0.11*(0.2/E6+68/(F6*E6*0.001*1000000/0.365))^0.25/(E6*0.001))*961.4*(F6^2)/2</f>
        <v>18.171664189647416</v>
      </c>
      <c r="H6" s="20">
        <f t="shared" ref="H6:H14" si="4">G6*D6</f>
        <v>290.74662703435865</v>
      </c>
      <c r="I6" s="19">
        <v>0.7</v>
      </c>
      <c r="J6" s="20">
        <f t="shared" ref="J6:J14" si="5">961.4*(F6^2)/2</f>
        <v>6.0534098981892406</v>
      </c>
      <c r="K6" s="20">
        <f t="shared" ref="K6:K14" si="6">J6*I6</f>
        <v>4.2373869287324677</v>
      </c>
      <c r="L6" s="20">
        <f t="shared" ref="L6:L14" si="7">K6+H6</f>
        <v>294.98401396309112</v>
      </c>
      <c r="M6" s="43">
        <v>1.036</v>
      </c>
      <c r="N6" s="43">
        <v>1.0229999999999999</v>
      </c>
      <c r="O6" s="59">
        <v>4.2610000000000001</v>
      </c>
      <c r="P6" s="68">
        <f t="shared" ref="P6:P14" si="8">0.97+0.06/O6</f>
        <v>0.98408120159586954</v>
      </c>
      <c r="Q6" s="36">
        <v>1</v>
      </c>
      <c r="R6">
        <v>0.4</v>
      </c>
      <c r="S6" s="14">
        <f>(C6*4/(3600000*3.14*R6))^(1/2)*1000</f>
        <v>7.9449789976324823</v>
      </c>
    </row>
    <row r="7" spans="1:19" ht="15.75">
      <c r="A7" s="9">
        <v>3</v>
      </c>
      <c r="B7" s="12">
        <v>1945.3</v>
      </c>
      <c r="C7" s="10">
        <f t="shared" si="0"/>
        <v>66.855178997613351</v>
      </c>
      <c r="D7" s="22">
        <v>16</v>
      </c>
      <c r="E7" s="12">
        <f t="shared" si="1"/>
        <v>15</v>
      </c>
      <c r="F7" s="13">
        <f t="shared" si="2"/>
        <v>0.10514300384935653</v>
      </c>
      <c r="G7" s="13">
        <f t="shared" si="3"/>
        <v>16.09162564240204</v>
      </c>
      <c r="H7" s="10">
        <f t="shared" si="4"/>
        <v>257.46601027843263</v>
      </c>
      <c r="I7" s="12">
        <v>1.2</v>
      </c>
      <c r="J7" s="10">
        <f t="shared" si="5"/>
        <v>5.3141631399445108</v>
      </c>
      <c r="K7" s="10">
        <f t="shared" si="6"/>
        <v>6.3769957679334128</v>
      </c>
      <c r="L7" s="10">
        <f t="shared" si="7"/>
        <v>263.84300604636604</v>
      </c>
      <c r="M7" s="43">
        <v>1.036</v>
      </c>
      <c r="N7" s="43">
        <v>1.0229999999999999</v>
      </c>
      <c r="O7" s="62">
        <v>3.5870000000000002</v>
      </c>
      <c r="P7" s="68">
        <f t="shared" si="8"/>
        <v>0.98672706997490933</v>
      </c>
      <c r="Q7" s="36">
        <v>1</v>
      </c>
      <c r="R7">
        <v>0.4</v>
      </c>
      <c r="S7" s="14">
        <f>(C7*4/(3600000*3.14*R7))^(1/2)*1000</f>
        <v>7.6904446987975312</v>
      </c>
    </row>
    <row r="8" spans="1:19" ht="15.75">
      <c r="A8" s="18">
        <v>4</v>
      </c>
      <c r="B8" s="19">
        <v>1745.4</v>
      </c>
      <c r="C8" s="10">
        <f t="shared" si="0"/>
        <v>59.985107398568019</v>
      </c>
      <c r="D8" s="22">
        <v>16</v>
      </c>
      <c r="E8" s="19">
        <f t="shared" si="1"/>
        <v>15</v>
      </c>
      <c r="F8" s="21">
        <f t="shared" si="2"/>
        <v>9.4338456237427093E-2</v>
      </c>
      <c r="G8" s="21">
        <f t="shared" si="3"/>
        <v>13.150668976735288</v>
      </c>
      <c r="H8" s="20">
        <f t="shared" si="4"/>
        <v>210.4107036277646</v>
      </c>
      <c r="I8" s="19">
        <v>0.7</v>
      </c>
      <c r="J8" s="20">
        <f t="shared" si="5"/>
        <v>4.2781070971529367</v>
      </c>
      <c r="K8" s="20">
        <f t="shared" si="6"/>
        <v>2.9946749680070557</v>
      </c>
      <c r="L8" s="20">
        <f t="shared" si="7"/>
        <v>213.40537859577165</v>
      </c>
      <c r="M8" s="43">
        <v>1.036</v>
      </c>
      <c r="N8" s="43">
        <v>1.0229999999999999</v>
      </c>
      <c r="O8" s="59">
        <v>3.2930000000000001</v>
      </c>
      <c r="P8" s="68">
        <f t="shared" si="8"/>
        <v>0.98822046765866989</v>
      </c>
      <c r="Q8" s="36">
        <v>1</v>
      </c>
      <c r="R8">
        <v>0.4</v>
      </c>
      <c r="S8" s="14">
        <f>(C8*4/(3600000*3.14*R8))^(1/2)*1000</f>
        <v>7.2845989342964339</v>
      </c>
    </row>
    <row r="9" spans="1:19" ht="15.75">
      <c r="A9" s="9">
        <v>5</v>
      </c>
      <c r="B9" s="19">
        <v>1745.4</v>
      </c>
      <c r="C9" s="10">
        <f t="shared" si="0"/>
        <v>59.985107398568019</v>
      </c>
      <c r="D9" s="22">
        <v>16</v>
      </c>
      <c r="E9" s="12">
        <f t="shared" si="1"/>
        <v>15</v>
      </c>
      <c r="F9" s="13">
        <f t="shared" si="2"/>
        <v>9.4338456237427093E-2</v>
      </c>
      <c r="G9" s="13">
        <f t="shared" si="3"/>
        <v>13.150668976735288</v>
      </c>
      <c r="H9" s="10">
        <f t="shared" si="4"/>
        <v>210.4107036277646</v>
      </c>
      <c r="I9" s="12">
        <v>3.5</v>
      </c>
      <c r="J9" s="10">
        <f t="shared" si="5"/>
        <v>4.2781070971529367</v>
      </c>
      <c r="K9" s="10">
        <f t="shared" si="6"/>
        <v>14.973374840035278</v>
      </c>
      <c r="L9" s="10">
        <f t="shared" si="7"/>
        <v>225.3840784677999</v>
      </c>
      <c r="M9" s="43">
        <v>1.036</v>
      </c>
      <c r="N9" s="43">
        <v>1.0229999999999999</v>
      </c>
      <c r="O9" s="59">
        <v>3.2930000000000001</v>
      </c>
      <c r="P9" s="68">
        <f t="shared" si="8"/>
        <v>0.98822046765866989</v>
      </c>
      <c r="Q9" s="36">
        <v>1</v>
      </c>
      <c r="R9">
        <v>0.4</v>
      </c>
      <c r="S9" s="14">
        <f>(C9*4/(3600000*3.14*R9))^(1/2)*1000</f>
        <v>7.2845989342964339</v>
      </c>
    </row>
    <row r="10" spans="1:19" ht="15.75">
      <c r="A10" s="18">
        <v>6</v>
      </c>
      <c r="B10" s="19">
        <v>1745.4</v>
      </c>
      <c r="C10" s="10">
        <f t="shared" si="0"/>
        <v>59.985107398568019</v>
      </c>
      <c r="D10" s="22">
        <v>16</v>
      </c>
      <c r="E10" s="19">
        <f t="shared" si="1"/>
        <v>15</v>
      </c>
      <c r="F10" s="21">
        <f t="shared" si="2"/>
        <v>9.4338456237427093E-2</v>
      </c>
      <c r="G10" s="21">
        <f t="shared" si="3"/>
        <v>13.150668976735288</v>
      </c>
      <c r="H10" s="20">
        <f t="shared" si="4"/>
        <v>210.4107036277646</v>
      </c>
      <c r="I10" s="19">
        <v>10.9</v>
      </c>
      <c r="J10" s="20">
        <f t="shared" si="5"/>
        <v>4.2781070971529367</v>
      </c>
      <c r="K10" s="20">
        <f t="shared" si="6"/>
        <v>46.631367358967012</v>
      </c>
      <c r="L10" s="20">
        <f t="shared" si="7"/>
        <v>257.04207098673163</v>
      </c>
      <c r="M10" s="43">
        <v>1.036</v>
      </c>
      <c r="N10" s="43">
        <v>1.0229999999999999</v>
      </c>
      <c r="O10" s="59">
        <v>3.2930000000000001</v>
      </c>
      <c r="P10" s="68">
        <f t="shared" si="8"/>
        <v>0.98822046765866989</v>
      </c>
      <c r="Q10" s="36">
        <v>1</v>
      </c>
      <c r="R10">
        <v>0.4</v>
      </c>
      <c r="S10" s="14">
        <f>(C10*4/(3600000*3.14*R10))^(1/2)*1000</f>
        <v>7.2845989342964339</v>
      </c>
    </row>
    <row r="11" spans="1:19" ht="15.75">
      <c r="A11" s="9">
        <v>7</v>
      </c>
      <c r="B11" s="19">
        <v>1745.4</v>
      </c>
      <c r="C11" s="10">
        <f t="shared" si="0"/>
        <v>59.985107398568019</v>
      </c>
      <c r="D11" s="22">
        <v>16</v>
      </c>
      <c r="E11" s="12">
        <f t="shared" si="1"/>
        <v>15</v>
      </c>
      <c r="F11" s="13">
        <f t="shared" si="2"/>
        <v>9.4338456237427093E-2</v>
      </c>
      <c r="G11" s="13">
        <f t="shared" si="3"/>
        <v>13.150668976735288</v>
      </c>
      <c r="H11" s="10">
        <f t="shared" si="4"/>
        <v>210.4107036277646</v>
      </c>
      <c r="I11" s="12">
        <v>19.3</v>
      </c>
      <c r="J11" s="10">
        <f t="shared" si="5"/>
        <v>4.2781070971529367</v>
      </c>
      <c r="K11" s="10">
        <f t="shared" si="6"/>
        <v>82.567466975051687</v>
      </c>
      <c r="L11" s="10">
        <f t="shared" si="7"/>
        <v>292.97817060281631</v>
      </c>
      <c r="M11" s="43">
        <v>1.036</v>
      </c>
      <c r="N11" s="43">
        <v>1.0229999999999999</v>
      </c>
      <c r="O11" s="59">
        <v>3.2930000000000001</v>
      </c>
      <c r="P11" s="68">
        <f t="shared" si="8"/>
        <v>0.98822046765866989</v>
      </c>
      <c r="Q11" s="36">
        <v>1</v>
      </c>
      <c r="R11">
        <v>0.4</v>
      </c>
      <c r="S11" s="14">
        <f>(C11*4/(3600000*3.14*R11))^(1/2)*1000</f>
        <v>7.2845989342964339</v>
      </c>
    </row>
    <row r="12" spans="1:19" ht="15.75">
      <c r="A12" s="18">
        <v>8</v>
      </c>
      <c r="B12" s="19">
        <v>2837.4</v>
      </c>
      <c r="C12" s="10">
        <f t="shared" si="0"/>
        <v>97.514463007159904</v>
      </c>
      <c r="D12" s="22">
        <v>16</v>
      </c>
      <c r="E12" s="19">
        <f t="shared" si="1"/>
        <v>15</v>
      </c>
      <c r="F12" s="21">
        <f t="shared" si="2"/>
        <v>0.15336079736912778</v>
      </c>
      <c r="G12" s="21">
        <f t="shared" si="3"/>
        <v>32.674636605067988</v>
      </c>
      <c r="H12" s="20">
        <f t="shared" si="4"/>
        <v>522.79418568108781</v>
      </c>
      <c r="I12" s="19">
        <v>10.9</v>
      </c>
      <c r="J12" s="20">
        <f t="shared" si="5"/>
        <v>11.305840075372227</v>
      </c>
      <c r="K12" s="20">
        <f t="shared" si="6"/>
        <v>123.23365682155729</v>
      </c>
      <c r="L12" s="20">
        <f t="shared" si="7"/>
        <v>646.02784250264506</v>
      </c>
      <c r="M12" s="43">
        <v>1.036</v>
      </c>
      <c r="N12" s="43">
        <v>1.0229999999999999</v>
      </c>
      <c r="O12" s="59">
        <v>4.8849999999999998</v>
      </c>
      <c r="P12" s="68">
        <f t="shared" si="8"/>
        <v>0.98228249744114637</v>
      </c>
      <c r="Q12" s="36">
        <v>1</v>
      </c>
      <c r="R12">
        <v>0.4</v>
      </c>
      <c r="S12" s="14">
        <f>(C12*4/(3600000*3.14*R12))^(1/2)*1000</f>
        <v>9.2879194936290421</v>
      </c>
    </row>
    <row r="13" spans="1:19" ht="15.75">
      <c r="A13" s="9">
        <v>9</v>
      </c>
      <c r="B13" s="12">
        <v>1727.7</v>
      </c>
      <c r="C13" s="10">
        <f t="shared" si="0"/>
        <v>59.376801909307872</v>
      </c>
      <c r="D13" s="22">
        <v>16</v>
      </c>
      <c r="E13" s="12">
        <f t="shared" si="1"/>
        <v>15</v>
      </c>
      <c r="F13" s="13">
        <f t="shared" si="2"/>
        <v>9.3381775433369299E-2</v>
      </c>
      <c r="G13" s="13">
        <f t="shared" si="3"/>
        <v>12.904009426614529</v>
      </c>
      <c r="H13" s="10">
        <f t="shared" si="4"/>
        <v>206.46415082583246</v>
      </c>
      <c r="I13" s="12">
        <v>3.5</v>
      </c>
      <c r="J13" s="10">
        <f t="shared" si="5"/>
        <v>4.1917789810705042</v>
      </c>
      <c r="K13" s="10">
        <f t="shared" si="6"/>
        <v>14.671226433746764</v>
      </c>
      <c r="L13" s="10">
        <f t="shared" si="7"/>
        <v>221.13537725957923</v>
      </c>
      <c r="M13" s="43">
        <v>1.036</v>
      </c>
      <c r="N13" s="43">
        <v>1.0229999999999999</v>
      </c>
      <c r="O13" s="62">
        <v>3.371</v>
      </c>
      <c r="P13" s="68">
        <f t="shared" si="8"/>
        <v>0.98779887273805989</v>
      </c>
      <c r="Q13" s="36">
        <v>1</v>
      </c>
      <c r="R13">
        <v>0.4</v>
      </c>
      <c r="S13" s="14">
        <f>(C13*4/(3600000*3.14*R13))^(1/2)*1000</f>
        <v>7.2475684668218365</v>
      </c>
    </row>
    <row r="14" spans="1:19" ht="15.75">
      <c r="A14" s="18">
        <v>10</v>
      </c>
      <c r="B14" s="19">
        <v>2234.3000000000002</v>
      </c>
      <c r="C14" s="10">
        <f t="shared" si="0"/>
        <v>76.787398568019086</v>
      </c>
      <c r="D14" s="22">
        <v>16</v>
      </c>
      <c r="E14" s="19">
        <f t="shared" si="1"/>
        <v>15</v>
      </c>
      <c r="F14" s="21">
        <f t="shared" si="2"/>
        <v>0.1207633853393396</v>
      </c>
      <c r="G14" s="21">
        <f t="shared" si="3"/>
        <v>20.846249581715206</v>
      </c>
      <c r="H14" s="20">
        <f t="shared" si="4"/>
        <v>333.5399933074433</v>
      </c>
      <c r="I14" s="19">
        <v>0.7</v>
      </c>
      <c r="J14" s="20">
        <f t="shared" si="5"/>
        <v>7.0104303712035865</v>
      </c>
      <c r="K14" s="20">
        <f t="shared" si="6"/>
        <v>4.9073012598425105</v>
      </c>
      <c r="L14" s="20">
        <f t="shared" si="7"/>
        <v>338.44729456728578</v>
      </c>
      <c r="M14" s="43">
        <v>1.036</v>
      </c>
      <c r="N14" s="43">
        <v>1.0229999999999999</v>
      </c>
      <c r="O14" s="64">
        <v>4.3789999999999996</v>
      </c>
      <c r="P14" s="68">
        <f t="shared" si="8"/>
        <v>0.98370175839232699</v>
      </c>
      <c r="Q14" s="36">
        <v>1</v>
      </c>
      <c r="R14">
        <v>0.4</v>
      </c>
      <c r="S14" s="14">
        <f>(C14*4/(3600000*3.14*R14))^(1/2)*1000</f>
        <v>8.2419296438017788</v>
      </c>
    </row>
    <row r="15" spans="1:19" ht="15.75">
      <c r="A15" s="15"/>
      <c r="B15" s="16"/>
      <c r="C15" s="11"/>
      <c r="D15" s="16"/>
      <c r="E15" s="16"/>
      <c r="F15" s="17"/>
      <c r="G15" s="17"/>
      <c r="H15" s="11"/>
      <c r="I15" s="16"/>
      <c r="J15" s="11"/>
      <c r="K15" s="11"/>
      <c r="L15" s="11"/>
      <c r="M15" s="11"/>
      <c r="N15" s="11"/>
      <c r="O15" s="11"/>
      <c r="P15" s="11"/>
      <c r="Q15" s="11"/>
      <c r="S15" s="14"/>
    </row>
    <row r="16" spans="1:19" ht="15.75">
      <c r="A16" s="23" t="s">
        <v>17</v>
      </c>
      <c r="B16" s="23"/>
      <c r="C16" s="23"/>
      <c r="D16" s="24">
        <f>SUM(L5:L14)</f>
        <v>3185.6298000530151</v>
      </c>
      <c r="E16" s="16"/>
      <c r="F16" s="17"/>
      <c r="G16" s="17"/>
      <c r="H16" s="11"/>
      <c r="I16" s="16"/>
      <c r="J16" s="11"/>
      <c r="K16" s="11"/>
      <c r="L16" s="11"/>
      <c r="M16" s="11"/>
      <c r="N16" s="11"/>
      <c r="O16" s="11"/>
      <c r="P16" s="11"/>
      <c r="Q16" s="11"/>
      <c r="S16" s="14"/>
    </row>
    <row r="17" spans="1:19" ht="15.75">
      <c r="A17" s="23"/>
      <c r="B17" s="23"/>
      <c r="C17" s="23"/>
      <c r="D17" s="24"/>
      <c r="E17" s="16"/>
      <c r="F17" s="17"/>
      <c r="G17" s="17"/>
      <c r="H17" s="11"/>
      <c r="I17" s="16"/>
      <c r="J17" s="11"/>
      <c r="K17" s="11"/>
      <c r="L17" s="11"/>
      <c r="M17" s="11"/>
      <c r="N17" s="11"/>
      <c r="O17" s="11"/>
      <c r="P17" s="11"/>
      <c r="Q17" s="11"/>
      <c r="S17" s="14"/>
    </row>
    <row r="18" spans="1:19" ht="15.75">
      <c r="A18" s="15"/>
      <c r="B18" s="16"/>
      <c r="C18" s="11"/>
      <c r="D18" s="16"/>
      <c r="E18" s="16"/>
      <c r="F18" s="17"/>
      <c r="G18" s="17"/>
      <c r="H18" s="11"/>
      <c r="I18" s="16"/>
      <c r="J18" s="11"/>
      <c r="K18" s="11"/>
      <c r="L18" s="11"/>
      <c r="M18" s="11"/>
      <c r="N18" s="11"/>
      <c r="O18" s="11"/>
      <c r="P18" s="11"/>
      <c r="Q18" s="11"/>
      <c r="S18" s="14"/>
    </row>
    <row r="19" spans="1:19" ht="13.5" thickBo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9" ht="15.75">
      <c r="A20" s="44" t="s">
        <v>22</v>
      </c>
      <c r="B20" s="45"/>
      <c r="C20" s="45"/>
      <c r="D20" s="45"/>
      <c r="E20" s="45"/>
      <c r="F20" s="45"/>
      <c r="G20" s="45"/>
      <c r="H20" s="45"/>
      <c r="I20" s="45"/>
      <c r="J20" s="45"/>
      <c r="K20" s="46"/>
      <c r="L20" s="5"/>
      <c r="M20" s="5"/>
      <c r="N20" s="5"/>
      <c r="O20" s="5"/>
      <c r="P20" s="5"/>
      <c r="Q20" s="5"/>
    </row>
    <row r="21" spans="1:19" ht="13.5" thickBot="1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9"/>
      <c r="L21" s="5"/>
      <c r="M21" s="5"/>
      <c r="N21" s="5"/>
      <c r="O21" s="5"/>
      <c r="P21" s="5"/>
      <c r="Q21" s="5"/>
    </row>
    <row r="22" spans="1:19" ht="16.5" thickBot="1">
      <c r="A22" s="50" t="s">
        <v>23</v>
      </c>
      <c r="B22" s="51" t="s">
        <v>24</v>
      </c>
      <c r="C22" s="51" t="s">
        <v>25</v>
      </c>
      <c r="D22" s="51" t="s">
        <v>26</v>
      </c>
      <c r="E22" s="51" t="s">
        <v>27</v>
      </c>
      <c r="F22" s="51" t="s">
        <v>28</v>
      </c>
      <c r="G22" s="51" t="s">
        <v>29</v>
      </c>
      <c r="H22" s="51" t="s">
        <v>30</v>
      </c>
      <c r="I22" s="51" t="s">
        <v>31</v>
      </c>
      <c r="J22" s="51" t="s">
        <v>32</v>
      </c>
      <c r="K22" s="52" t="s">
        <v>33</v>
      </c>
      <c r="L22" s="5"/>
      <c r="M22" s="5"/>
      <c r="N22" s="5"/>
      <c r="O22" s="5"/>
      <c r="P22" s="5"/>
      <c r="Q22" s="5"/>
      <c r="R22" s="6"/>
    </row>
    <row r="23" spans="1:19" ht="15.75">
      <c r="A23" s="53">
        <v>201</v>
      </c>
      <c r="B23" s="53">
        <v>2267.4</v>
      </c>
      <c r="C23" s="53">
        <v>23</v>
      </c>
      <c r="D23" s="53">
        <v>95</v>
      </c>
      <c r="E23" s="53">
        <v>70</v>
      </c>
      <c r="F23" s="53">
        <f t="shared" ref="F23:F32" si="9">(D23+E23)/2-C23</f>
        <v>59.5</v>
      </c>
      <c r="G23" s="53" t="s">
        <v>34</v>
      </c>
      <c r="H23" s="54">
        <f>650*((F23/70)^1.3)*((0.86*B23/(360*(D23-E23)))^0.02)*0.9</f>
        <v>459.32084085372037</v>
      </c>
      <c r="I23" s="55">
        <f t="shared" ref="I23:I32" si="10">B23/H23</f>
        <v>4.9364187259295242</v>
      </c>
      <c r="J23" s="56">
        <f>I23/0.244</f>
        <v>20.231224286596412</v>
      </c>
      <c r="K23" s="53">
        <v>21</v>
      </c>
      <c r="L23" s="11"/>
      <c r="M23" s="11"/>
      <c r="N23" s="11"/>
      <c r="O23" s="11"/>
      <c r="P23" s="11"/>
      <c r="Q23" s="11"/>
      <c r="R23" s="6"/>
    </row>
    <row r="24" spans="1:19">
      <c r="A24" s="57">
        <v>202</v>
      </c>
      <c r="B24" s="57">
        <v>2076.1999999999998</v>
      </c>
      <c r="C24" s="57">
        <v>25</v>
      </c>
      <c r="D24" s="53">
        <v>95</v>
      </c>
      <c r="E24" s="57">
        <v>70</v>
      </c>
      <c r="F24" s="57">
        <f t="shared" si="9"/>
        <v>57.5</v>
      </c>
      <c r="G24" s="57" t="s">
        <v>34</v>
      </c>
      <c r="H24" s="58">
        <f t="shared" ref="H24:H32" si="11">650*((F24/70)^1.3)*(0.86*B24/(360*(D24-E24)))^0.02</f>
        <v>487.30919406085479</v>
      </c>
      <c r="I24" s="59">
        <f t="shared" si="10"/>
        <v>4.2605393563346672</v>
      </c>
      <c r="J24" s="58">
        <f>I24/0.244</f>
        <v>17.461226870224046</v>
      </c>
      <c r="K24" s="57">
        <v>18</v>
      </c>
      <c r="L24" s="5"/>
      <c r="M24" s="5"/>
      <c r="N24" s="5"/>
      <c r="O24" s="5"/>
      <c r="P24" s="5"/>
      <c r="Q24" s="5"/>
      <c r="R24" s="6"/>
    </row>
    <row r="25" spans="1:19">
      <c r="A25" s="60">
        <v>203</v>
      </c>
      <c r="B25" s="60">
        <v>1945.3</v>
      </c>
      <c r="C25" s="60">
        <v>20</v>
      </c>
      <c r="D25" s="53">
        <v>95</v>
      </c>
      <c r="E25" s="60">
        <v>70</v>
      </c>
      <c r="F25" s="60">
        <f t="shared" si="9"/>
        <v>62.5</v>
      </c>
      <c r="G25" s="60" t="s">
        <v>34</v>
      </c>
      <c r="H25" s="61">
        <f t="shared" si="11"/>
        <v>542.39387642503084</v>
      </c>
      <c r="I25" s="62">
        <f t="shared" si="10"/>
        <v>3.5865080424979272</v>
      </c>
      <c r="J25" s="56">
        <f t="shared" ref="J25:J32" si="12">I25/0.244</f>
        <v>14.698803452860357</v>
      </c>
      <c r="K25" s="60">
        <v>15</v>
      </c>
      <c r="L25" s="5"/>
      <c r="M25" s="5"/>
      <c r="N25" s="5"/>
      <c r="O25" s="5"/>
      <c r="P25" s="5"/>
      <c r="Q25" s="5"/>
      <c r="R25" s="6"/>
    </row>
    <row r="26" spans="1:19">
      <c r="A26" s="57">
        <v>204</v>
      </c>
      <c r="B26" s="57">
        <v>1745.4</v>
      </c>
      <c r="C26" s="57">
        <v>21</v>
      </c>
      <c r="D26" s="53">
        <v>95</v>
      </c>
      <c r="E26" s="57">
        <v>70</v>
      </c>
      <c r="F26" s="57">
        <f t="shared" si="9"/>
        <v>61.5</v>
      </c>
      <c r="G26" s="57" t="s">
        <v>34</v>
      </c>
      <c r="H26" s="58">
        <f t="shared" si="11"/>
        <v>529.98865531723504</v>
      </c>
      <c r="I26" s="59">
        <f t="shared" si="10"/>
        <v>3.29327803998985</v>
      </c>
      <c r="J26" s="58">
        <f t="shared" si="12"/>
        <v>13.497041147499386</v>
      </c>
      <c r="K26" s="57">
        <v>14</v>
      </c>
      <c r="L26" s="5"/>
      <c r="M26" s="5"/>
      <c r="N26" s="5"/>
      <c r="O26" s="5"/>
      <c r="P26" s="5"/>
      <c r="Q26" s="5"/>
      <c r="R26" s="6"/>
    </row>
    <row r="27" spans="1:19">
      <c r="A27" s="60">
        <v>205</v>
      </c>
      <c r="B27" s="57">
        <v>1745.4</v>
      </c>
      <c r="C27" s="60">
        <v>21</v>
      </c>
      <c r="D27" s="53">
        <v>95</v>
      </c>
      <c r="E27" s="60">
        <v>70</v>
      </c>
      <c r="F27" s="60">
        <f t="shared" si="9"/>
        <v>61.5</v>
      </c>
      <c r="G27" s="60" t="s">
        <v>34</v>
      </c>
      <c r="H27" s="61">
        <f t="shared" si="11"/>
        <v>529.98865531723504</v>
      </c>
      <c r="I27" s="62">
        <f t="shared" si="10"/>
        <v>3.29327803998985</v>
      </c>
      <c r="J27" s="56">
        <f t="shared" si="12"/>
        <v>13.497041147499386</v>
      </c>
      <c r="K27" s="60">
        <v>14</v>
      </c>
      <c r="L27" s="5"/>
      <c r="M27" s="5"/>
      <c r="N27" s="5"/>
      <c r="O27" s="5"/>
      <c r="P27" s="5"/>
      <c r="Q27" s="5"/>
      <c r="R27" s="6"/>
    </row>
    <row r="28" spans="1:19">
      <c r="A28" s="57">
        <v>216</v>
      </c>
      <c r="B28" s="57">
        <v>1745.4</v>
      </c>
      <c r="C28" s="57">
        <v>21</v>
      </c>
      <c r="D28" s="53">
        <v>95</v>
      </c>
      <c r="E28" s="57">
        <v>70</v>
      </c>
      <c r="F28" s="57">
        <f t="shared" si="9"/>
        <v>61.5</v>
      </c>
      <c r="G28" s="57" t="s">
        <v>34</v>
      </c>
      <c r="H28" s="58">
        <f t="shared" si="11"/>
        <v>529.98865531723504</v>
      </c>
      <c r="I28" s="59">
        <f t="shared" si="10"/>
        <v>3.29327803998985</v>
      </c>
      <c r="J28" s="58">
        <f t="shared" si="12"/>
        <v>13.497041147499386</v>
      </c>
      <c r="K28" s="57">
        <v>14</v>
      </c>
      <c r="L28" s="2"/>
      <c r="M28" s="2"/>
      <c r="N28" s="2"/>
      <c r="O28" s="2"/>
      <c r="P28" s="2"/>
      <c r="Q28" s="2"/>
      <c r="R28" s="6"/>
    </row>
    <row r="29" spans="1:19">
      <c r="A29" s="60">
        <v>217</v>
      </c>
      <c r="B29" s="57">
        <v>1745.4</v>
      </c>
      <c r="C29" s="60">
        <v>21</v>
      </c>
      <c r="D29" s="53">
        <v>95</v>
      </c>
      <c r="E29" s="60">
        <v>70</v>
      </c>
      <c r="F29" s="60">
        <f t="shared" si="9"/>
        <v>61.5</v>
      </c>
      <c r="G29" s="60" t="s">
        <v>34</v>
      </c>
      <c r="H29" s="61">
        <f t="shared" si="11"/>
        <v>529.98865531723504</v>
      </c>
      <c r="I29" s="62">
        <f t="shared" si="10"/>
        <v>3.29327803998985</v>
      </c>
      <c r="J29" s="56">
        <f t="shared" si="12"/>
        <v>13.497041147499386</v>
      </c>
      <c r="K29" s="60">
        <v>14</v>
      </c>
      <c r="L29" s="2"/>
      <c r="M29" s="2"/>
      <c r="N29" s="2"/>
      <c r="O29" s="2"/>
      <c r="P29" s="2"/>
      <c r="Q29" s="2"/>
    </row>
    <row r="30" spans="1:19">
      <c r="A30" s="57">
        <v>218</v>
      </c>
      <c r="B30" s="57">
        <v>2837.4</v>
      </c>
      <c r="C30" s="57">
        <v>17</v>
      </c>
      <c r="D30" s="53">
        <v>95</v>
      </c>
      <c r="E30" s="57">
        <v>70</v>
      </c>
      <c r="F30" s="57">
        <f t="shared" si="9"/>
        <v>65.5</v>
      </c>
      <c r="G30" s="57" t="s">
        <v>34</v>
      </c>
      <c r="H30" s="58">
        <f t="shared" si="11"/>
        <v>580.8488378109829</v>
      </c>
      <c r="I30" s="59">
        <f t="shared" si="10"/>
        <v>4.8849198195750434</v>
      </c>
      <c r="J30" s="58">
        <f t="shared" si="12"/>
        <v>20.020163194979688</v>
      </c>
      <c r="K30" s="57">
        <v>21</v>
      </c>
      <c r="L30" s="2"/>
      <c r="M30" s="2"/>
      <c r="N30" s="2"/>
      <c r="O30" s="2"/>
      <c r="P30" s="2"/>
      <c r="Q30" s="2"/>
    </row>
    <row r="31" spans="1:19">
      <c r="A31" s="60">
        <v>219</v>
      </c>
      <c r="B31" s="60">
        <v>1787.7</v>
      </c>
      <c r="C31" s="60">
        <v>21</v>
      </c>
      <c r="D31" s="53">
        <v>95</v>
      </c>
      <c r="E31" s="60">
        <v>70</v>
      </c>
      <c r="F31" s="60">
        <f t="shared" si="9"/>
        <v>61.5</v>
      </c>
      <c r="G31" s="60" t="s">
        <v>34</v>
      </c>
      <c r="H31" s="61">
        <f t="shared" si="11"/>
        <v>530.24253956452344</v>
      </c>
      <c r="I31" s="62">
        <f t="shared" si="10"/>
        <v>3.371476006938634</v>
      </c>
      <c r="J31" s="56">
        <f t="shared" si="12"/>
        <v>13.817524618600959</v>
      </c>
      <c r="K31" s="60">
        <v>14</v>
      </c>
      <c r="L31" s="2"/>
      <c r="M31" s="2"/>
      <c r="N31" s="2"/>
      <c r="O31" s="2"/>
      <c r="P31" s="2"/>
      <c r="Q31" s="2"/>
    </row>
    <row r="32" spans="1:19">
      <c r="A32" s="63">
        <v>220</v>
      </c>
      <c r="B32" s="63">
        <v>2234.3000000000002</v>
      </c>
      <c r="C32" s="57">
        <v>23</v>
      </c>
      <c r="D32" s="53">
        <v>95</v>
      </c>
      <c r="E32" s="63">
        <v>70</v>
      </c>
      <c r="F32" s="63">
        <f t="shared" si="9"/>
        <v>59.5</v>
      </c>
      <c r="G32" s="63" t="s">
        <v>34</v>
      </c>
      <c r="H32" s="58">
        <f t="shared" si="11"/>
        <v>510.20640768872784</v>
      </c>
      <c r="I32" s="64">
        <f t="shared" si="10"/>
        <v>4.3792080348844342</v>
      </c>
      <c r="J32" s="58">
        <f t="shared" si="12"/>
        <v>17.947573913460797</v>
      </c>
      <c r="K32" s="63">
        <v>18</v>
      </c>
      <c r="L32" s="2"/>
      <c r="M32" s="2"/>
      <c r="N32" s="2"/>
      <c r="O32" s="2"/>
      <c r="P32" s="2"/>
      <c r="Q32" s="2"/>
    </row>
    <row r="33" spans="1:17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>
      <c r="A47" s="3"/>
    </row>
    <row r="73" spans="1:2">
      <c r="A73" s="1" t="s">
        <v>12</v>
      </c>
      <c r="B73">
        <v>1.06</v>
      </c>
    </row>
    <row r="74" spans="1:2">
      <c r="A74" s="1" t="s">
        <v>13</v>
      </c>
      <c r="B74">
        <v>1.02</v>
      </c>
    </row>
  </sheetData>
  <mergeCells count="23">
    <mergeCell ref="A20:K20"/>
    <mergeCell ref="O1:O4"/>
    <mergeCell ref="S1:S4"/>
    <mergeCell ref="R1:R4"/>
    <mergeCell ref="L1:L4"/>
    <mergeCell ref="E1:E4"/>
    <mergeCell ref="K1:K4"/>
    <mergeCell ref="G2:G4"/>
    <mergeCell ref="H2:H4"/>
    <mergeCell ref="F1:F4"/>
    <mergeCell ref="G1:H1"/>
    <mergeCell ref="I1:I4"/>
    <mergeCell ref="J1:J4"/>
    <mergeCell ref="M1:M4"/>
    <mergeCell ref="N1:N4"/>
    <mergeCell ref="P1:P4"/>
    <mergeCell ref="Q1:Q4"/>
    <mergeCell ref="A16:C17"/>
    <mergeCell ref="D16:D17"/>
    <mergeCell ref="A1:A4"/>
    <mergeCell ref="B1:B4"/>
    <mergeCell ref="C1:C4"/>
    <mergeCell ref="D1:D4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ОЦК</vt:lpstr>
      <vt:lpstr>ОЦК!Область_печати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azanov</cp:lastModifiedBy>
  <cp:lastPrinted>2008-11-17T12:36:19Z</cp:lastPrinted>
  <dcterms:created xsi:type="dcterms:W3CDTF">1996-10-08T23:32:33Z</dcterms:created>
  <dcterms:modified xsi:type="dcterms:W3CDTF">2017-05-19T14:02:23Z</dcterms:modified>
</cp:coreProperties>
</file>