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ОДРАБОТКА\Autor24\Нефтегазовое дело\II семестр 2019 (весна)\Трубопроводный транспорт\#3562939\"/>
    </mc:Choice>
  </mc:AlternateContent>
  <bookViews>
    <workbookView xWindow="0" yWindow="0" windowWidth="10215" windowHeight="7590"/>
  </bookViews>
  <sheets>
    <sheet name="Работа 1" sheetId="1" r:id="rId1"/>
    <sheet name="Работа 2" sheetId="4" r:id="rId2"/>
    <sheet name="Работа 3" sheetId="6" r:id="rId3"/>
    <sheet name="Работа 4" sheetId="7" r:id="rId4"/>
    <sheet name="Работа 5" sheetId="5" r:id="rId5"/>
    <sheet name="Справочное" sheetId="2" state="hidden" r:id="rId6"/>
  </sheets>
  <definedNames>
    <definedName name="БП">Справочное!$A$12:$A$13</definedName>
    <definedName name="МТ">Справочное!$A$8:$A$10</definedName>
    <definedName name="Пригруз">Справочное!$A$18:$A$19</definedName>
    <definedName name="УТ">Справочное!$A$15:$A$16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D53" i="4"/>
  <c r="C53" i="4"/>
  <c r="A53" i="4"/>
  <c r="H41" i="1"/>
  <c r="H18" i="4"/>
  <c r="E11" i="6"/>
  <c r="F14" i="7" l="1"/>
  <c r="B11" i="6"/>
  <c r="H32" i="4"/>
  <c r="H19" i="1"/>
  <c r="H15" i="1" l="1"/>
  <c r="H17" i="1"/>
  <c r="H23" i="5" l="1"/>
  <c r="I32" i="7"/>
  <c r="D32" i="7"/>
  <c r="E32" i="7"/>
  <c r="F32" i="7"/>
  <c r="G32" i="7"/>
  <c r="H32" i="7"/>
  <c r="C32" i="7"/>
  <c r="B32" i="7"/>
  <c r="A32" i="7"/>
  <c r="F27" i="7"/>
  <c r="F20" i="7"/>
  <c r="I8" i="7"/>
  <c r="I8" i="5" s="1"/>
  <c r="H8" i="7"/>
  <c r="H8" i="5" s="1"/>
  <c r="G8" i="7"/>
  <c r="G8" i="5" s="1"/>
  <c r="F8" i="7"/>
  <c r="F8" i="5" s="1"/>
  <c r="E8" i="7"/>
  <c r="E8" i="5" s="1"/>
  <c r="D8" i="7"/>
  <c r="D8" i="5" s="1"/>
  <c r="C8" i="7"/>
  <c r="C8" i="5" s="1"/>
  <c r="B8" i="7"/>
  <c r="A8" i="7"/>
  <c r="A8" i="5" s="1"/>
  <c r="G27" i="6"/>
  <c r="B8" i="6"/>
  <c r="A8" i="6"/>
  <c r="H31" i="4"/>
  <c r="G50" i="6" s="1"/>
  <c r="B8" i="4"/>
  <c r="C8" i="4"/>
  <c r="D8" i="4"/>
  <c r="E8" i="4"/>
  <c r="F8" i="4"/>
  <c r="G8" i="4"/>
  <c r="H8" i="4"/>
  <c r="I8" i="4"/>
  <c r="A8" i="4"/>
  <c r="H29" i="4"/>
  <c r="G52" i="6" s="1"/>
  <c r="H28" i="4"/>
  <c r="F12" i="7" l="1"/>
  <c r="F15" i="7"/>
  <c r="F22" i="7" s="1"/>
  <c r="G47" i="6"/>
  <c r="A57" i="6" s="1"/>
  <c r="G20" i="6"/>
  <c r="G24" i="6"/>
  <c r="B8" i="5"/>
  <c r="C33" i="7"/>
  <c r="G33" i="7"/>
  <c r="D33" i="7"/>
  <c r="H33" i="7"/>
  <c r="E33" i="7"/>
  <c r="I33" i="7"/>
  <c r="B33" i="7"/>
  <c r="F35" i="7" s="1"/>
  <c r="F33" i="7"/>
  <c r="A33" i="7"/>
  <c r="H22" i="5"/>
  <c r="H26" i="5" s="1"/>
  <c r="H45" i="5"/>
  <c r="H44" i="5"/>
  <c r="H14" i="4"/>
  <c r="H13" i="4"/>
  <c r="H30" i="4"/>
  <c r="H33" i="4" s="1"/>
  <c r="H29" i="1"/>
  <c r="H28" i="1"/>
  <c r="H24" i="1"/>
  <c r="G31" i="6" l="1"/>
  <c r="G39" i="6" s="1"/>
  <c r="I39" i="6" s="1"/>
  <c r="G34" i="6"/>
  <c r="H32" i="1"/>
  <c r="F37" i="7"/>
  <c r="F39" i="7" s="1"/>
  <c r="G49" i="6"/>
  <c r="G35" i="6"/>
  <c r="G41" i="6" s="1"/>
  <c r="I41" i="6" s="1"/>
  <c r="G32" i="6"/>
  <c r="G37" i="6" s="1"/>
  <c r="G29" i="6"/>
  <c r="G42" i="6" l="1"/>
  <c r="G38" i="6"/>
  <c r="I38" i="6" s="1"/>
  <c r="G54" i="6"/>
  <c r="D57" i="6" s="1"/>
  <c r="C57" i="6" s="1"/>
  <c r="F57" i="6" s="1"/>
  <c r="I37" i="6"/>
  <c r="I42" i="6"/>
  <c r="G43" i="6"/>
  <c r="I43" i="6" s="1"/>
  <c r="H35" i="1"/>
  <c r="H38" i="1" s="1"/>
  <c r="C45" i="6" l="1"/>
  <c r="H16" i="5"/>
  <c r="H18" i="5" s="1"/>
  <c r="H32" i="5" s="1"/>
  <c r="H38" i="5" l="1"/>
  <c r="H50" i="5"/>
  <c r="H54" i="5"/>
  <c r="H30" i="5"/>
  <c r="H34" i="5" s="1"/>
  <c r="H28" i="5"/>
  <c r="H69" i="5"/>
  <c r="H67" i="5"/>
  <c r="H20" i="4"/>
  <c r="H25" i="4" l="1"/>
  <c r="H40" i="4"/>
  <c r="H40" i="5"/>
  <c r="H48" i="5" s="1"/>
  <c r="H52" i="5" s="1"/>
  <c r="H56" i="5"/>
  <c r="H22" i="4"/>
  <c r="H35" i="4" s="1"/>
  <c r="J54" i="5"/>
  <c r="A74" i="5"/>
  <c r="F23" i="7"/>
  <c r="F29" i="7" s="1"/>
  <c r="H46" i="4" l="1"/>
  <c r="B44" i="4"/>
  <c r="B43" i="4"/>
  <c r="D49" i="4" s="1"/>
  <c r="D38" i="4"/>
  <c r="F41" i="7"/>
  <c r="H71" i="5"/>
  <c r="D74" i="5" s="1"/>
  <c r="C74" i="5" s="1"/>
  <c r="F74" i="5" s="1"/>
  <c r="A38" i="4"/>
  <c r="A51" i="4" l="1"/>
  <c r="D51" i="4"/>
  <c r="A49" i="4"/>
  <c r="C49" i="4"/>
  <c r="F49" i="4" s="1"/>
  <c r="B62" i="5"/>
  <c r="D63" i="5" s="1"/>
  <c r="A59" i="5"/>
  <c r="A63" i="5"/>
  <c r="C38" i="4"/>
  <c r="F38" i="4" s="1"/>
  <c r="C51" i="4" l="1"/>
  <c r="F51" i="4" s="1"/>
  <c r="H78" i="5"/>
  <c r="C63" i="5"/>
  <c r="F63" i="5" s="1"/>
  <c r="D59" i="5"/>
  <c r="C59" i="5" s="1"/>
  <c r="F59" i="5" s="1"/>
  <c r="H80" i="5" l="1"/>
  <c r="H82" i="5" s="1"/>
  <c r="H84" i="5" s="1"/>
  <c r="A89" i="5" l="1"/>
  <c r="D87" i="5"/>
  <c r="D89" i="5"/>
  <c r="A87" i="5"/>
  <c r="C89" i="5" l="1"/>
  <c r="F89" i="5" s="1"/>
  <c r="C87" i="5"/>
  <c r="F87" i="5" s="1"/>
</calcChain>
</file>

<file path=xl/sharedStrings.xml><?xml version="1.0" encoding="utf-8"?>
<sst xmlns="http://schemas.openxmlformats.org/spreadsheetml/2006/main" count="449" uniqueCount="228">
  <si>
    <t>мм</t>
  </si>
  <si>
    <t>Категория участка</t>
  </si>
  <si>
    <t>В</t>
  </si>
  <si>
    <t>I</t>
  </si>
  <si>
    <t>II</t>
  </si>
  <si>
    <t>III</t>
  </si>
  <si>
    <t>IV</t>
  </si>
  <si>
    <t>р, МПа</t>
  </si>
  <si>
    <t>Марка стали</t>
  </si>
  <si>
    <t>№ варианта</t>
  </si>
  <si>
    <t>Исходные данные:</t>
  </si>
  <si>
    <t>Проверка подземного и наземного (в насыпи) трубопровода на прочность и недопустимость пластических деформаций</t>
  </si>
  <si>
    <t>Определение толщины стенки трубопровода</t>
  </si>
  <si>
    <t>Цель работы:</t>
  </si>
  <si>
    <t>Решение:</t>
  </si>
  <si>
    <t>Коэффициент условий работы, m</t>
  </si>
  <si>
    <t>Категория участка трубопровода</t>
  </si>
  <si>
    <t>газопровод</t>
  </si>
  <si>
    <t>нефтепровод</t>
  </si>
  <si>
    <t>нефтепродуктопровод</t>
  </si>
  <si>
    <t>Назначение трубопровода:</t>
  </si>
  <si>
    <t>МПа</t>
  </si>
  <si>
    <t>Модуль упругости Е</t>
  </si>
  <si>
    <t>Коэффициент линейного расширения α</t>
  </si>
  <si>
    <t>1/°C</t>
  </si>
  <si>
    <t>Rоэффициент Пуассона  μ (в упругой стадии)</t>
  </si>
  <si>
    <t>Ответ:</t>
  </si>
  <si>
    <t>Проверка на прочность:</t>
  </si>
  <si>
    <t>Коэффициент, учитывающий двухосное напряженное состояние материала трубы:</t>
  </si>
  <si>
    <t>Проверка на недопустимость пластических деформаций:</t>
  </si>
  <si>
    <t>Проверка на недопустимость пластических деформаций</t>
  </si>
  <si>
    <t>Расчет надземного перехода трубопровода</t>
  </si>
  <si>
    <t>Определение допускаемого пролета между опорами</t>
  </si>
  <si>
    <t>Н/м</t>
  </si>
  <si>
    <t>м</t>
  </si>
  <si>
    <t>Проверка на продольную устойчивость:</t>
  </si>
  <si>
    <t>однопролетный</t>
  </si>
  <si>
    <t>два и более пролета</t>
  </si>
  <si>
    <t>Н</t>
  </si>
  <si>
    <t>Площадь поперечного сечения трубы:</t>
  </si>
  <si>
    <t>Сжимающее продольное усилие в трубопроводе:</t>
  </si>
  <si>
    <t>Условие выполнения продольной устойчивости:</t>
  </si>
  <si>
    <t>Проверка на прочность</t>
  </si>
  <si>
    <t>Условие прочности:</t>
  </si>
  <si>
    <t>Условие предотвращения недопустимых пластических деформаций:</t>
  </si>
  <si>
    <t>Коэффициент надежности по нагрузке (внутреннее рабочее давление)</t>
  </si>
  <si>
    <t>Предел прочности</t>
  </si>
  <si>
    <t>Назначение трубопровода</t>
  </si>
  <si>
    <t>n</t>
  </si>
  <si>
    <t>m</t>
  </si>
  <si>
    <t>Е</t>
  </si>
  <si>
    <t>Коэффициент линейного расширения</t>
  </si>
  <si>
    <t>α</t>
  </si>
  <si>
    <t>Коэффициент Пуассона  (в упругой стадии)</t>
  </si>
  <si>
    <t>μ</t>
  </si>
  <si>
    <t>δ</t>
  </si>
  <si>
    <t>Расчетная толщина стенки трубопровода</t>
  </si>
  <si>
    <t>Продольное осевое сжимающее напряжение</t>
  </si>
  <si>
    <t>Коэффициент, учитывающий двухосное напряженное состояние труб</t>
  </si>
  <si>
    <t>Толщина стенки с учетом продольных осевых сжимающих напряжений</t>
  </si>
  <si>
    <t xml:space="preserve">δ </t>
  </si>
  <si>
    <t>Исходные данные</t>
  </si>
  <si>
    <t>Модуль упругости</t>
  </si>
  <si>
    <t>Предел текучести</t>
  </si>
  <si>
    <t>Принятое значение толщины стенки (задача №1)</t>
  </si>
  <si>
    <t>Внутренний диаметр трубопровода, исходя из принятой толщины стенки</t>
  </si>
  <si>
    <t>Кольцевые напряжения от расчётного внутреннего давления</t>
  </si>
  <si>
    <t>Кольцевые напряжения от нормативного (рабочего) давления</t>
  </si>
  <si>
    <t>Максимальные (фибровые) суммарные продольные напряжения в трубопроводе от нормативных нагрузок и воздействий</t>
  </si>
  <si>
    <t>Расчет напряженного состояния трубопровода при изоляцинно-укладочных работах</t>
  </si>
  <si>
    <t>Толщина стенки δ, мм</t>
  </si>
  <si>
    <t>h, м</t>
  </si>
  <si>
    <t>а</t>
  </si>
  <si>
    <t>b</t>
  </si>
  <si>
    <t>Осевой момент инерции поперечного сечения трубы</t>
  </si>
  <si>
    <t>J</t>
  </si>
  <si>
    <t>Нагрузка от веса трубы</t>
  </si>
  <si>
    <t>Коэффициент надежности по нагрузке от веса трубы</t>
  </si>
  <si>
    <t>Длина первого пролета</t>
  </si>
  <si>
    <t>l</t>
  </si>
  <si>
    <t>тс</t>
  </si>
  <si>
    <t>Принятый вариант</t>
  </si>
  <si>
    <t>Напряжения от изгиба трубопровода при подъеме на высоту h</t>
  </si>
  <si>
    <t>σ</t>
  </si>
  <si>
    <t>Расчетное сопротивление материала трубы</t>
  </si>
  <si>
    <t>Проверка выполнения условия:</t>
  </si>
  <si>
    <t>Н∙м</t>
  </si>
  <si>
    <t>Толщина стенки</t>
  </si>
  <si>
    <t>Выталкивающая сила воды, действующая на трубопровод</t>
  </si>
  <si>
    <t>Плотность воды на болоте</t>
  </si>
  <si>
    <t>Угол поворота оси трубопровода</t>
  </si>
  <si>
    <t>β</t>
  </si>
  <si>
    <t>рад</t>
  </si>
  <si>
    <t>Участок трассы</t>
  </si>
  <si>
    <t>вогнутый</t>
  </si>
  <si>
    <t>выпуклый</t>
  </si>
  <si>
    <t>Расчетная интенсивность нагрузки от упругого отпора при свободном изгибе трубопровода</t>
  </si>
  <si>
    <t>Нагрузка от веса продукта в трубе</t>
  </si>
  <si>
    <t>(с учетом возможности опопрожнения трубопровода)</t>
  </si>
  <si>
    <t>Необходимая дополнительная пригрузка на 1 м</t>
  </si>
  <si>
    <t>Б</t>
  </si>
  <si>
    <t>Принимаемые пригрузы</t>
  </si>
  <si>
    <t>чугунные</t>
  </si>
  <si>
    <t>железобетонные</t>
  </si>
  <si>
    <t>Размеры, мм</t>
  </si>
  <si>
    <t>с</t>
  </si>
  <si>
    <t>d</t>
  </si>
  <si>
    <t>R</t>
  </si>
  <si>
    <t>D</t>
  </si>
  <si>
    <t>h</t>
  </si>
  <si>
    <t>R1</t>
  </si>
  <si>
    <t>R2</t>
  </si>
  <si>
    <t>R3</t>
  </si>
  <si>
    <t>A</t>
  </si>
  <si>
    <t>M</t>
  </si>
  <si>
    <t>Вес груза в воздухе</t>
  </si>
  <si>
    <t>Объем груза</t>
  </si>
  <si>
    <t>Наружный диаметр трубопровода, мм</t>
  </si>
  <si>
    <t>Масса груза, кг</t>
  </si>
  <si>
    <t>Вес груза в воде</t>
  </si>
  <si>
    <t>Шаг расстановки железобетонных грузов</t>
  </si>
  <si>
    <t>Принятое значение толщины стенки</t>
  </si>
  <si>
    <t>W</t>
  </si>
  <si>
    <t>Осевой момент сопротивления поперечного сечения трубы</t>
  </si>
  <si>
    <t>Собственный вес трубы</t>
  </si>
  <si>
    <t>Суммарный вес трубы и продукта</t>
  </si>
  <si>
    <t>Кольцевые напряжения от расчетного внутреннего давления</t>
  </si>
  <si>
    <t>Допускаемый пролет</t>
  </si>
  <si>
    <t>Приведенная длина балочного перехода</t>
  </si>
  <si>
    <t>Критическая продольная сила, при которой наступает потеря продольной устойчивости трубопровода</t>
  </si>
  <si>
    <t>F</t>
  </si>
  <si>
    <t>S</t>
  </si>
  <si>
    <t>Суммарные продольные напряжения</t>
  </si>
  <si>
    <t>Коэффициент, учитывающий двухосное напряженное состояние материала трубы</t>
  </si>
  <si>
    <t>Прогиб от действия поперечных нагрузок</t>
  </si>
  <si>
    <t>f</t>
  </si>
  <si>
    <t>Максимальный изгибающий момент в пролете</t>
  </si>
  <si>
    <t>Суммарный прогиб трубопровода между опорами</t>
  </si>
  <si>
    <t>12Г2СБ</t>
  </si>
  <si>
    <t>Расчетное сопротивление растяжению (сжатию) металла труб</t>
  </si>
  <si>
    <t>Физические характеристики стали (прил 6.)</t>
  </si>
  <si>
    <t>Коэффициент надежности по нагрузке - внутреннему рабочему давлению в трубопроводе (прил.7)</t>
  </si>
  <si>
    <t>Коэффициент условий работы трубопровода (прил. 2)</t>
  </si>
  <si>
    <t>Коэффициент надежности по назначению трубопровода (прил.3)</t>
  </si>
  <si>
    <t>Для марки стали 12Г2СБ примем трубы Выксунского трубного завода (прил.5)</t>
  </si>
  <si>
    <t>Принимаем толщину стенки</t>
  </si>
  <si>
    <r>
      <t>Проверить на прочность, на недопустимость пластических деформаций участок магистрального трубопровода с наружным диаметром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 xml:space="preserve"> и толщиной стенки - δ.  Исходные данные для расчета: категория участка, внутреннее давление – р, марка стали, температура стенки трубы при эксплуатации – t</t>
    </r>
    <r>
      <rPr>
        <vertAlign val="subscript"/>
        <sz val="10"/>
        <color theme="1"/>
        <rFont val="Arial"/>
        <family val="2"/>
        <charset val="204"/>
      </rPr>
      <t>э</t>
    </r>
    <r>
      <rPr>
        <sz val="10"/>
        <color theme="1"/>
        <rFont val="Arial"/>
        <family val="2"/>
        <charset val="204"/>
      </rPr>
      <t>, температура фиксации расчетной схемы трубопровода – t</t>
    </r>
    <r>
      <rPr>
        <vertAlign val="subscript"/>
        <sz val="10"/>
        <color theme="1"/>
        <rFont val="Arial"/>
        <family val="2"/>
        <charset val="204"/>
      </rPr>
      <t>ф</t>
    </r>
    <r>
      <rPr>
        <sz val="10"/>
        <color theme="1"/>
        <rFont val="Arial"/>
        <family val="2"/>
        <charset val="204"/>
      </rPr>
      <t>, коэффициент надежности по материалу трубы – k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. Радиус упругого изгиба R=1000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 xml:space="preserve"> . </t>
    </r>
  </si>
  <si>
    <r>
      <t>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>, мм</t>
    </r>
  </si>
  <si>
    <r>
      <t>ρ, кг/м</t>
    </r>
    <r>
      <rPr>
        <vertAlign val="superscript"/>
        <sz val="10"/>
        <color theme="1"/>
        <rFont val="Arial"/>
        <family val="2"/>
        <charset val="204"/>
      </rPr>
      <t>3</t>
    </r>
  </si>
  <si>
    <r>
      <t>t</t>
    </r>
    <r>
      <rPr>
        <vertAlign val="subscript"/>
        <sz val="10"/>
        <color theme="1"/>
        <rFont val="Arial"/>
        <family val="2"/>
        <charset val="204"/>
      </rPr>
      <t>ф</t>
    </r>
    <r>
      <rPr>
        <sz val="10"/>
        <color theme="1"/>
        <rFont val="Arial"/>
        <family val="2"/>
        <charset val="204"/>
      </rPr>
      <t>, °С</t>
    </r>
  </si>
  <si>
    <r>
      <t>t</t>
    </r>
    <r>
      <rPr>
        <vertAlign val="subscript"/>
        <sz val="10"/>
        <color theme="1"/>
        <rFont val="Arial"/>
        <family val="2"/>
        <charset val="204"/>
      </rPr>
      <t>э</t>
    </r>
    <r>
      <rPr>
        <sz val="10"/>
        <color theme="1"/>
        <rFont val="Arial"/>
        <family val="2"/>
        <charset val="204"/>
      </rPr>
      <t>, °С</t>
    </r>
  </si>
  <si>
    <r>
      <t>k</t>
    </r>
    <r>
      <rPr>
        <vertAlign val="subscript"/>
        <sz val="10"/>
        <color theme="1"/>
        <rFont val="Arial"/>
        <family val="2"/>
        <charset val="204"/>
      </rPr>
      <t>1</t>
    </r>
  </si>
  <si>
    <r>
      <t>D</t>
    </r>
    <r>
      <rPr>
        <b/>
        <vertAlign val="subscript"/>
        <sz val="10"/>
        <color theme="1"/>
        <rFont val="Arial"/>
        <family val="2"/>
        <charset val="204"/>
      </rPr>
      <t>вн</t>
    </r>
  </si>
  <si>
    <r>
      <t>σ</t>
    </r>
    <r>
      <rPr>
        <b/>
        <vertAlign val="subscript"/>
        <sz val="10"/>
        <color theme="1"/>
        <rFont val="Arial"/>
        <family val="2"/>
        <charset val="204"/>
      </rPr>
      <t>пр.N</t>
    </r>
  </si>
  <si>
    <r>
      <t>σ</t>
    </r>
    <r>
      <rPr>
        <b/>
        <vertAlign val="subscript"/>
        <sz val="10"/>
        <color theme="1"/>
        <rFont val="Arial"/>
        <family val="2"/>
        <charset val="204"/>
      </rPr>
      <t>кц</t>
    </r>
  </si>
  <si>
    <r>
      <t>σ</t>
    </r>
    <r>
      <rPr>
        <b/>
        <vertAlign val="subscript"/>
        <sz val="10"/>
        <color theme="1"/>
        <rFont val="Arial"/>
        <family val="2"/>
        <charset val="204"/>
      </rPr>
      <t>вр</t>
    </r>
  </si>
  <si>
    <r>
      <t>σ</t>
    </r>
    <r>
      <rPr>
        <b/>
        <vertAlign val="subscript"/>
        <sz val="10"/>
        <color theme="1"/>
        <rFont val="Arial"/>
        <family val="2"/>
        <charset val="204"/>
      </rPr>
      <t>т</t>
    </r>
  </si>
  <si>
    <r>
      <t>k</t>
    </r>
    <r>
      <rPr>
        <b/>
        <vertAlign val="subscript"/>
        <sz val="10"/>
        <color theme="1"/>
        <rFont val="Arial"/>
        <family val="2"/>
        <charset val="204"/>
      </rPr>
      <t>н</t>
    </r>
  </si>
  <si>
    <r>
      <t>Нормативное сопротивления растяжению (сжатию) металла труб равно σ</t>
    </r>
    <r>
      <rPr>
        <b/>
        <vertAlign val="subscript"/>
        <sz val="10"/>
        <color theme="1"/>
        <rFont val="Arial"/>
        <family val="2"/>
        <charset val="204"/>
      </rPr>
      <t>вр</t>
    </r>
  </si>
  <si>
    <r>
      <t>R</t>
    </r>
    <r>
      <rPr>
        <b/>
        <vertAlign val="superscript"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</si>
  <si>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R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</si>
  <si>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ψ</t>
    </r>
    <r>
      <rPr>
        <b/>
        <vertAlign val="subscript"/>
        <sz val="10"/>
        <color theme="1"/>
        <rFont val="Arial"/>
        <family val="2"/>
        <charset val="204"/>
      </rPr>
      <t>2</t>
    </r>
  </si>
  <si>
    <r>
      <t>σ</t>
    </r>
    <r>
      <rPr>
        <b/>
        <vertAlign val="superscript"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кц</t>
    </r>
  </si>
  <si>
    <r>
      <t>σ</t>
    </r>
    <r>
      <rPr>
        <b/>
        <vertAlign val="superscript"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пр</t>
    </r>
  </si>
  <si>
    <r>
      <t>ψ</t>
    </r>
    <r>
      <rPr>
        <b/>
        <vertAlign val="subscript"/>
        <sz val="10"/>
        <color theme="1"/>
        <rFont val="Arial"/>
        <family val="2"/>
        <charset val="204"/>
      </rPr>
      <t>3</t>
    </r>
  </si>
  <si>
    <r>
      <t>Определение толщины стенки трубы участка магистрального трубопровода с наружным диаметром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>. Исходные данные: категория участка, внутреннее давление – р, марка стали, температура стенки трубы при эксплуатации – t</t>
    </r>
    <r>
      <rPr>
        <vertAlign val="subscript"/>
        <sz val="10"/>
        <color theme="1"/>
        <rFont val="Arial"/>
        <family val="2"/>
        <charset val="204"/>
      </rPr>
      <t>э</t>
    </r>
    <r>
      <rPr>
        <sz val="10"/>
        <color theme="1"/>
        <rFont val="Arial"/>
        <family val="2"/>
        <charset val="204"/>
      </rPr>
      <t>, температура фиксации расчетной схемы трубопровода – t</t>
    </r>
    <r>
      <rPr>
        <vertAlign val="subscript"/>
        <sz val="10"/>
        <color theme="1"/>
        <rFont val="Arial"/>
        <family val="2"/>
        <charset val="204"/>
      </rPr>
      <t>ф</t>
    </r>
    <r>
      <rPr>
        <sz val="10"/>
        <color theme="1"/>
        <rFont val="Arial"/>
        <family val="2"/>
        <charset val="204"/>
      </rPr>
      <t>, коэффициент надежности по материалу трубы – k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.</t>
    </r>
  </si>
  <si>
    <r>
      <t>σ</t>
    </r>
    <r>
      <rPr>
        <vertAlign val="subscript"/>
        <sz val="10"/>
        <color theme="1"/>
        <rFont val="Arial"/>
        <family val="2"/>
        <charset val="204"/>
      </rPr>
      <t>вр</t>
    </r>
  </si>
  <si>
    <r>
      <t>σ</t>
    </r>
    <r>
      <rPr>
        <vertAlign val="subscript"/>
        <sz val="10"/>
        <color theme="1"/>
        <rFont val="Arial"/>
        <family val="2"/>
        <charset val="204"/>
      </rPr>
      <t>т</t>
    </r>
  </si>
  <si>
    <r>
      <t>k</t>
    </r>
    <r>
      <rPr>
        <vertAlign val="subscript"/>
        <sz val="10"/>
        <color theme="1"/>
        <rFont val="Arial"/>
        <family val="2"/>
        <charset val="204"/>
      </rPr>
      <t>н</t>
    </r>
  </si>
  <si>
    <r>
      <rPr>
        <b/>
        <sz val="10"/>
        <color theme="1"/>
        <rFont val="Arial"/>
        <family val="2"/>
        <charset val="204"/>
      </rPr>
      <t>ψ</t>
    </r>
    <r>
      <rPr>
        <b/>
        <vertAlign val="subscript"/>
        <sz val="10"/>
        <color theme="1"/>
        <rFont val="Arial"/>
        <family val="2"/>
        <charset val="204"/>
      </rPr>
      <t>1</t>
    </r>
  </si>
  <si>
    <t>Коэффициент Пуассона (в упругой стадии)</t>
  </si>
  <si>
    <t>По номограмме (рис. 3.3) :</t>
  </si>
  <si>
    <t>I вариант расчета</t>
  </si>
  <si>
    <t>II вариант расчета</t>
  </si>
  <si>
    <t>Расстояние между трубоукладчиками по первому варианту</t>
  </si>
  <si>
    <t>Расстояние между трубоукладчиками по второму варианту</t>
  </si>
  <si>
    <t>Усилия на крюках трубоукладчика по первому варианту</t>
  </si>
  <si>
    <t>Усилия на крюках трубоукладчика по второму варианту</t>
  </si>
  <si>
    <t>Коэффициент надежности по материалу (прил. 4)</t>
  </si>
  <si>
    <r>
      <t>h</t>
    </r>
    <r>
      <rPr>
        <vertAlign val="subscript"/>
        <sz val="10"/>
        <color theme="1"/>
        <rFont val="Arial"/>
        <family val="2"/>
        <charset val="204"/>
      </rPr>
      <t>оч</t>
    </r>
    <r>
      <rPr>
        <sz val="10"/>
        <color theme="1"/>
        <rFont val="Arial"/>
        <family val="2"/>
        <charset val="204"/>
      </rPr>
      <t>, м</t>
    </r>
  </si>
  <si>
    <r>
      <t>h</t>
    </r>
    <r>
      <rPr>
        <vertAlign val="subscript"/>
        <sz val="10"/>
        <color theme="1"/>
        <rFont val="Arial"/>
        <family val="2"/>
        <charset val="204"/>
      </rPr>
      <t>из</t>
    </r>
    <r>
      <rPr>
        <sz val="10"/>
        <color theme="1"/>
        <rFont val="Arial"/>
        <family val="2"/>
        <charset val="204"/>
      </rPr>
      <t>, м</t>
    </r>
  </si>
  <si>
    <r>
      <t>Q</t>
    </r>
    <r>
      <rPr>
        <vertAlign val="subscript"/>
        <sz val="10"/>
        <color theme="1"/>
        <rFont val="Arial"/>
        <family val="2"/>
        <charset val="204"/>
      </rPr>
      <t>оч</t>
    </r>
    <r>
      <rPr>
        <sz val="10"/>
        <color theme="1"/>
        <rFont val="Arial"/>
        <family val="2"/>
        <charset val="204"/>
      </rPr>
      <t>, тс</t>
    </r>
  </si>
  <si>
    <r>
      <t>Q</t>
    </r>
    <r>
      <rPr>
        <vertAlign val="subscript"/>
        <sz val="10"/>
        <color theme="1"/>
        <rFont val="Arial"/>
        <family val="2"/>
        <charset val="204"/>
      </rPr>
      <t>из</t>
    </r>
    <r>
      <rPr>
        <sz val="10"/>
        <color theme="1"/>
        <rFont val="Arial"/>
        <family val="2"/>
        <charset val="204"/>
      </rPr>
      <t>, тс</t>
    </r>
  </si>
  <si>
    <r>
      <t>Рассчитать расстояние между трубоукладчиками и усилия на крюки трубоукладчика, если  при изоляционно-укладочных работах используются три трубоукладчика, расчетная схема принята симметричная. Определить напряженное состояние трубопровода при укладке. Исходные данные: наружный диаметр трубы –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>, толщина стенки - δ, марка стали, высота (max) подъема трубопровода при укладке – h, высота, на которой работают, соответственно, очистная и изоляционная машины - h</t>
    </r>
    <r>
      <rPr>
        <vertAlign val="subscript"/>
        <sz val="10"/>
        <color theme="1"/>
        <rFont val="Arial"/>
        <family val="2"/>
        <charset val="204"/>
      </rPr>
      <t>оч</t>
    </r>
    <r>
      <rPr>
        <sz val="10"/>
        <color theme="1"/>
        <rFont val="Arial"/>
        <family val="2"/>
        <charset val="204"/>
      </rPr>
      <t>, h</t>
    </r>
    <r>
      <rPr>
        <vertAlign val="subscript"/>
        <sz val="10"/>
        <color theme="1"/>
        <rFont val="Arial"/>
        <family val="2"/>
        <charset val="204"/>
      </rPr>
      <t>из</t>
    </r>
    <r>
      <rPr>
        <sz val="10"/>
        <color theme="1"/>
        <rFont val="Arial"/>
        <family val="2"/>
        <charset val="204"/>
      </rPr>
      <t>, вес, соответственно, очистной и изоляционной машины - Q</t>
    </r>
    <r>
      <rPr>
        <vertAlign val="subscript"/>
        <sz val="10"/>
        <color theme="1"/>
        <rFont val="Arial"/>
        <family val="2"/>
        <charset val="204"/>
      </rPr>
      <t>оч</t>
    </r>
    <r>
      <rPr>
        <sz val="10"/>
        <color theme="1"/>
        <rFont val="Arial"/>
        <family val="2"/>
        <charset val="204"/>
      </rPr>
      <t>, Q</t>
    </r>
    <r>
      <rPr>
        <vertAlign val="subscript"/>
        <sz val="10"/>
        <color theme="1"/>
        <rFont val="Arial"/>
        <family val="2"/>
        <charset val="204"/>
      </rPr>
      <t>из</t>
    </r>
    <r>
      <rPr>
        <sz val="10"/>
        <color theme="1"/>
        <rFont val="Arial"/>
        <family val="2"/>
        <charset val="204"/>
      </rPr>
      <t>.</t>
    </r>
  </si>
  <si>
    <r>
      <t xml:space="preserve">Значение </t>
    </r>
    <r>
      <rPr>
        <b/>
        <i/>
        <sz val="10"/>
        <color theme="1"/>
        <rFont val="Arial"/>
        <family val="2"/>
        <charset val="204"/>
      </rPr>
      <t>а</t>
    </r>
  </si>
  <si>
    <r>
      <t xml:space="preserve">Значение </t>
    </r>
    <r>
      <rPr>
        <b/>
        <i/>
        <sz val="10"/>
        <color theme="1"/>
        <rFont val="Arial"/>
        <family val="2"/>
        <charset val="204"/>
      </rPr>
      <t>b</t>
    </r>
  </si>
  <si>
    <r>
      <t>α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</si>
  <si>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β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</si>
  <si>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α</t>
    </r>
    <r>
      <rPr>
        <b/>
        <vertAlign val="subscript"/>
        <sz val="10"/>
        <color theme="1"/>
        <rFont val="Arial"/>
        <family val="2"/>
        <charset val="204"/>
      </rPr>
      <t>2</t>
    </r>
  </si>
  <si>
    <r>
      <t>β</t>
    </r>
    <r>
      <rPr>
        <b/>
        <vertAlign val="subscript"/>
        <sz val="10"/>
        <color theme="1"/>
        <rFont val="Arial"/>
        <family val="2"/>
        <charset val="204"/>
      </rPr>
      <t>2</t>
    </r>
  </si>
  <si>
    <r>
      <t>м</t>
    </r>
    <r>
      <rPr>
        <b/>
        <vertAlign val="superscript"/>
        <sz val="10"/>
        <color theme="1"/>
        <rFont val="Arial"/>
        <family val="2"/>
        <charset val="204"/>
      </rPr>
      <t>4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</si>
  <si>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тр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</si>
  <si>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</si>
  <si>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2</t>
    </r>
  </si>
  <si>
    <r>
      <t>K</t>
    </r>
    <r>
      <rPr>
        <b/>
        <vertAlign val="subscript"/>
        <sz val="10"/>
        <color theme="1"/>
        <rFont val="Arial"/>
        <family val="2"/>
        <charset val="204"/>
      </rPr>
      <t>1</t>
    </r>
  </si>
  <si>
    <r>
      <t>K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</si>
  <si>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K</t>
    </r>
    <r>
      <rPr>
        <b/>
        <vertAlign val="subscript"/>
        <sz val="10"/>
        <color theme="1"/>
        <rFont val="Arial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</si>
  <si>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k</t>
    </r>
    <r>
      <rPr>
        <vertAlign val="subscript"/>
        <sz val="10"/>
        <color theme="1"/>
        <rFont val="Arial"/>
        <family val="2"/>
        <charset val="204"/>
      </rPr>
      <t>2</t>
    </r>
  </si>
  <si>
    <r>
      <t>R</t>
    </r>
    <r>
      <rPr>
        <b/>
        <vertAlign val="subscript"/>
        <sz val="10"/>
        <color theme="1"/>
        <rFont val="Arial"/>
        <family val="2"/>
        <charset val="204"/>
      </rPr>
      <t>2</t>
    </r>
  </si>
  <si>
    <t>Параметры груза (прил. 8)</t>
  </si>
  <si>
    <r>
      <t>Рассчитать шаг расстановки железобетонных или чугунных грузов при укладке трубопровода через болото. Исходные данные для расчета: наружный диаметр трубы - 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>,  толщина стенки - δ, вид груза, его масса и размеры.</t>
    </r>
  </si>
  <si>
    <r>
      <t>ρ</t>
    </r>
    <r>
      <rPr>
        <vertAlign val="subscript"/>
        <sz val="11.5"/>
        <color theme="1"/>
        <rFont val="Arial"/>
        <family val="2"/>
        <charset val="204"/>
      </rPr>
      <t>в</t>
    </r>
  </si>
  <si>
    <r>
      <t>кг/м</t>
    </r>
    <r>
      <rPr>
        <vertAlign val="superscript"/>
        <sz val="10"/>
        <color theme="1"/>
        <rFont val="Arial"/>
        <family val="2"/>
        <charset val="204"/>
      </rPr>
      <t>3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</si>
  <si>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в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</si>
  <si>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изг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</si>
  <si>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прод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</si>
  <si>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пр</t>
    </r>
  </si>
  <si>
    <r>
      <t>V</t>
    </r>
    <r>
      <rPr>
        <b/>
        <vertAlign val="subscript"/>
        <sz val="10"/>
        <color theme="1"/>
        <rFont val="Arial"/>
        <family val="2"/>
        <charset val="204"/>
      </rPr>
      <t>пр</t>
    </r>
  </si>
  <si>
    <r>
      <t>Б</t>
    </r>
    <r>
      <rPr>
        <b/>
        <vertAlign val="subscript"/>
        <sz val="10"/>
        <color theme="1"/>
        <rFont val="Arial"/>
        <family val="2"/>
        <charset val="204"/>
      </rPr>
      <t>пр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</si>
  <si>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пр</t>
    </r>
  </si>
  <si>
    <t>Модуль упругости (прил 6.)</t>
  </si>
  <si>
    <t>Коэффициент надежности по нагрузке от веса продукта (прил. 7)</t>
  </si>
  <si>
    <t>Для марки стали 12Г2СБ (прил.5)</t>
  </si>
  <si>
    <r>
      <t>Определение допустимого расстояния между опорами надземного балочного перехода трубопровода,  расчет данного участка на прочность и продольную устойчивость. Исходные данные для расчета: наружный диаметр трубы -  D</t>
    </r>
    <r>
      <rPr>
        <vertAlign val="subscript"/>
        <sz val="10"/>
        <color theme="1"/>
        <rFont val="Arial"/>
        <family val="2"/>
        <charset val="204"/>
      </rPr>
      <t>н</t>
    </r>
    <r>
      <rPr>
        <sz val="10"/>
        <color theme="1"/>
        <rFont val="Arial"/>
        <family val="2"/>
        <charset val="204"/>
      </rPr>
      <t>,  толщина стенки - δ, категория участка, внут-реннее давление – р, марка стали, температура стенки трубы при эксплуатации – t</t>
    </r>
    <r>
      <rPr>
        <vertAlign val="subscript"/>
        <sz val="10"/>
        <color theme="1"/>
        <rFont val="Arial"/>
        <family val="2"/>
        <charset val="204"/>
      </rPr>
      <t>э</t>
    </r>
    <r>
      <rPr>
        <sz val="10"/>
        <color theme="1"/>
        <rFont val="Arial"/>
        <family val="2"/>
        <charset val="204"/>
      </rPr>
      <t>, температура фиксации расчетной схемы трубопровода – t</t>
    </r>
    <r>
      <rPr>
        <vertAlign val="subscript"/>
        <sz val="10"/>
        <color theme="1"/>
        <rFont val="Arial"/>
        <family val="2"/>
        <charset val="204"/>
      </rPr>
      <t>ф</t>
    </r>
    <r>
      <rPr>
        <sz val="10"/>
        <color theme="1"/>
        <rFont val="Arial"/>
        <family val="2"/>
        <charset val="204"/>
      </rPr>
      <t>, коэффициент надежности по материалу трубы – k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. Переход - однопролетный.</t>
    </r>
  </si>
  <si>
    <r>
      <t>м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</si>
  <si>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пр</t>
    </r>
  </si>
  <si>
    <r>
      <t>q</t>
    </r>
    <r>
      <rPr>
        <b/>
        <vertAlign val="subscript"/>
        <sz val="10"/>
        <color theme="1"/>
        <rFont val="Arial"/>
        <family val="2"/>
        <charset val="204"/>
      </rPr>
      <t>тп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</si>
  <si>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доп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</si>
  <si>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0</t>
    </r>
  </si>
  <si>
    <r>
      <t>м</t>
    </r>
    <r>
      <rPr>
        <vertAlign val="superscript"/>
        <sz val="10"/>
        <color theme="1"/>
        <rFont val="Arial"/>
        <family val="2"/>
        <charset val="204"/>
      </rPr>
      <t>4</t>
    </r>
  </si>
  <si>
    <r>
      <t>N</t>
    </r>
    <r>
      <rPr>
        <b/>
        <vertAlign val="subscript"/>
        <sz val="10"/>
        <color theme="1"/>
        <rFont val="Arial"/>
        <family val="2"/>
        <charset val="204"/>
      </rPr>
      <t>кр</t>
    </r>
  </si>
  <si>
    <r>
      <t>см</t>
    </r>
    <r>
      <rPr>
        <vertAlign val="superscript"/>
        <sz val="10"/>
        <color theme="1"/>
        <rFont val="Arial"/>
        <family val="2"/>
        <charset val="204"/>
      </rPr>
      <t>2</t>
    </r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</si>
  <si>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</si>
  <si>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r>
      <t>Так как проверка на продольную устойчивость газопровода не выполняется, то необходимо уменьшить расстояние l</t>
    </r>
    <r>
      <rPr>
        <vertAlign val="subscript"/>
        <sz val="10"/>
        <color theme="1"/>
        <rFont val="Arial"/>
        <family val="2"/>
        <charset val="204"/>
      </rPr>
      <t>0</t>
    </r>
  </si>
  <si>
    <r>
      <rPr>
        <b/>
        <i/>
        <sz val="10"/>
        <color theme="1"/>
        <rFont val="Arial"/>
        <family val="2"/>
        <charset val="204"/>
      </rPr>
      <t>f</t>
    </r>
    <r>
      <rPr>
        <b/>
        <vertAlign val="subscript"/>
        <sz val="10"/>
        <color theme="1"/>
        <rFont val="Arial"/>
        <family val="2"/>
        <charset val="204"/>
      </rPr>
      <t>э</t>
    </r>
  </si>
  <si>
    <r>
      <t>М</t>
    </r>
    <r>
      <rPr>
        <b/>
        <vertAlign val="subscript"/>
        <sz val="10"/>
        <color theme="1"/>
        <rFont val="Arial"/>
        <family val="2"/>
        <charset val="204"/>
      </rPr>
      <t>изг</t>
    </r>
  </si>
  <si>
    <t>Примечание:</t>
  </si>
  <si>
    <t>Для выполнения проверки на неопустимость пластических деформаций, необходимо принять сталь с более высоким пределом текучести.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</si>
</sst>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00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vertAlign val="subscript"/>
      <sz val="11.5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2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1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17" fontId="3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1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="115" zoomScaleNormal="115" workbookViewId="0">
      <selection activeCell="C51" sqref="C51"/>
    </sheetView>
  </sheetViews>
  <sheetFormatPr defaultRowHeight="14.25" x14ac:dyDescent="0.2"/>
  <cols>
    <col min="1" max="1" width="10" style="4" customWidth="1"/>
    <col min="2" max="2" width="9.5703125" style="4" customWidth="1"/>
    <col min="3" max="3" width="11.5703125" style="4" customWidth="1"/>
    <col min="4" max="5" width="9.140625" style="4"/>
    <col min="6" max="6" width="10" style="4" customWidth="1"/>
    <col min="7" max="16384" width="9.140625" style="4"/>
  </cols>
  <sheetData>
    <row r="1" spans="1:9" x14ac:dyDescent="0.2">
      <c r="A1" s="78" t="s">
        <v>12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79" t="s">
        <v>13</v>
      </c>
      <c r="B2" s="79"/>
      <c r="C2" s="79"/>
      <c r="D2" s="79"/>
      <c r="E2" s="79"/>
      <c r="F2" s="79"/>
      <c r="G2" s="79"/>
      <c r="H2" s="79"/>
      <c r="I2" s="79"/>
    </row>
    <row r="3" spans="1:9" ht="66" customHeight="1" x14ac:dyDescent="0.3">
      <c r="A3" s="80" t="s">
        <v>165</v>
      </c>
      <c r="B3" s="80"/>
      <c r="C3" s="80"/>
      <c r="D3" s="80"/>
      <c r="E3" s="80"/>
      <c r="F3" s="80"/>
      <c r="G3" s="80"/>
      <c r="H3" s="80"/>
      <c r="I3" s="80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ht="15" thickBot="1" x14ac:dyDescent="0.25">
      <c r="A5" s="77" t="s">
        <v>10</v>
      </c>
      <c r="B5" s="77"/>
      <c r="C5" s="77"/>
      <c r="D5" s="77"/>
      <c r="E5" s="77"/>
      <c r="F5" s="77"/>
      <c r="G5" s="77"/>
      <c r="H5" s="77"/>
      <c r="I5" s="77"/>
    </row>
    <row r="6" spans="1:9" ht="26.25" thickBot="1" x14ac:dyDescent="0.25">
      <c r="A6" s="5" t="s">
        <v>9</v>
      </c>
      <c r="B6" s="5" t="s">
        <v>147</v>
      </c>
      <c r="C6" s="5" t="s">
        <v>1</v>
      </c>
      <c r="D6" s="5" t="s">
        <v>148</v>
      </c>
      <c r="E6" s="5" t="s">
        <v>149</v>
      </c>
      <c r="F6" s="5" t="s">
        <v>150</v>
      </c>
      <c r="G6" s="5" t="s">
        <v>7</v>
      </c>
      <c r="H6" s="5" t="s">
        <v>8</v>
      </c>
      <c r="I6" s="5" t="s">
        <v>151</v>
      </c>
    </row>
    <row r="7" spans="1:9" ht="15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5" thickBot="1" x14ac:dyDescent="0.25">
      <c r="A8" s="7">
        <v>6</v>
      </c>
      <c r="B8" s="7">
        <v>1220</v>
      </c>
      <c r="C8" s="7" t="s">
        <v>2</v>
      </c>
      <c r="D8" s="7">
        <v>870</v>
      </c>
      <c r="E8" s="7">
        <v>-37</v>
      </c>
      <c r="F8" s="7">
        <v>12</v>
      </c>
      <c r="G8" s="7">
        <v>4.5</v>
      </c>
      <c r="H8" s="7" t="s">
        <v>138</v>
      </c>
      <c r="I8" s="28">
        <v>1.47</v>
      </c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30"/>
    </row>
    <row r="10" spans="1:9" x14ac:dyDescent="0.2">
      <c r="A10" s="79" t="s">
        <v>14</v>
      </c>
      <c r="B10" s="79"/>
      <c r="C10" s="79"/>
      <c r="D10" s="79"/>
      <c r="E10" s="79"/>
      <c r="F10" s="79"/>
      <c r="G10" s="79"/>
      <c r="H10" s="79"/>
      <c r="I10" s="79"/>
    </row>
    <row r="11" spans="1:9" ht="15" customHeight="1" x14ac:dyDescent="0.2">
      <c r="A11" s="83" t="s">
        <v>144</v>
      </c>
      <c r="B11" s="83"/>
      <c r="C11" s="83"/>
      <c r="D11" s="83"/>
      <c r="E11" s="83"/>
      <c r="F11" s="83"/>
      <c r="G11" s="83"/>
      <c r="H11" s="10"/>
      <c r="I11" s="10"/>
    </row>
    <row r="12" spans="1:9" ht="15.75" x14ac:dyDescent="0.2">
      <c r="B12" s="85" t="s">
        <v>46</v>
      </c>
      <c r="C12" s="85"/>
      <c r="D12" s="85"/>
      <c r="E12" s="85"/>
      <c r="F12" s="85"/>
      <c r="G12" s="15" t="s">
        <v>166</v>
      </c>
      <c r="H12" s="20">
        <v>550</v>
      </c>
      <c r="I12" s="15" t="s">
        <v>21</v>
      </c>
    </row>
    <row r="13" spans="1:9" ht="15.75" x14ac:dyDescent="0.2">
      <c r="B13" s="85" t="s">
        <v>63</v>
      </c>
      <c r="C13" s="85"/>
      <c r="D13" s="85"/>
      <c r="E13" s="85"/>
      <c r="F13" s="85"/>
      <c r="G13" s="15" t="s">
        <v>167</v>
      </c>
      <c r="H13" s="20">
        <v>380</v>
      </c>
      <c r="I13" s="15" t="s">
        <v>21</v>
      </c>
    </row>
    <row r="14" spans="1:9" x14ac:dyDescent="0.2">
      <c r="A14" s="89" t="s">
        <v>47</v>
      </c>
      <c r="B14" s="89"/>
      <c r="C14" s="89"/>
      <c r="D14" s="89"/>
      <c r="E14" s="89"/>
      <c r="F14" s="89"/>
      <c r="G14" s="87" t="s">
        <v>18</v>
      </c>
      <c r="H14" s="87"/>
      <c r="I14" s="87"/>
    </row>
    <row r="15" spans="1:9" x14ac:dyDescent="0.2">
      <c r="A15" s="85" t="s">
        <v>142</v>
      </c>
      <c r="B15" s="85"/>
      <c r="C15" s="85"/>
      <c r="D15" s="85"/>
      <c r="E15" s="85"/>
      <c r="F15" s="85"/>
      <c r="G15" s="15" t="s">
        <v>49</v>
      </c>
      <c r="H15" s="16">
        <f>VLOOKUP(C8,Справочное!A2:B6,2,FALSE)</f>
        <v>0.6</v>
      </c>
    </row>
    <row r="16" spans="1:9" ht="15.75" x14ac:dyDescent="0.2">
      <c r="A16" s="85" t="s">
        <v>143</v>
      </c>
      <c r="B16" s="85"/>
      <c r="C16" s="85"/>
      <c r="D16" s="85"/>
      <c r="E16" s="85"/>
      <c r="F16" s="85"/>
      <c r="G16" s="15" t="s">
        <v>168</v>
      </c>
      <c r="H16" s="21">
        <v>1.05</v>
      </c>
    </row>
    <row r="17" spans="1:9" ht="29.1" customHeight="1" x14ac:dyDescent="0.25">
      <c r="A17" s="86" t="s">
        <v>158</v>
      </c>
      <c r="B17" s="86"/>
      <c r="C17" s="86"/>
      <c r="D17" s="86"/>
      <c r="E17" s="86"/>
      <c r="F17" s="86"/>
      <c r="G17" s="13" t="s">
        <v>159</v>
      </c>
      <c r="H17" s="13">
        <f>H12</f>
        <v>550</v>
      </c>
      <c r="I17" s="13" t="s">
        <v>21</v>
      </c>
    </row>
    <row r="18" spans="1:9" x14ac:dyDescent="0.2">
      <c r="C18" s="12"/>
      <c r="D18" s="12"/>
    </row>
    <row r="19" spans="1:9" x14ac:dyDescent="0.2">
      <c r="A19" s="82" t="s">
        <v>139</v>
      </c>
      <c r="B19" s="82"/>
      <c r="C19" s="82"/>
      <c r="D19" s="82"/>
      <c r="E19" s="82"/>
      <c r="F19" s="82"/>
      <c r="G19" s="13" t="s">
        <v>160</v>
      </c>
      <c r="H19" s="23">
        <f>H17*H15/(I8*H16)</f>
        <v>213.79980563654033</v>
      </c>
      <c r="I19" s="13" t="s">
        <v>21</v>
      </c>
    </row>
    <row r="21" spans="1:9" x14ac:dyDescent="0.2">
      <c r="A21" s="13"/>
      <c r="B21" s="18"/>
      <c r="C21" s="15"/>
    </row>
    <row r="22" spans="1:9" ht="29.1" customHeight="1" x14ac:dyDescent="0.2">
      <c r="A22" s="88" t="s">
        <v>141</v>
      </c>
      <c r="B22" s="88"/>
      <c r="C22" s="88"/>
      <c r="D22" s="88"/>
      <c r="E22" s="88"/>
      <c r="F22" s="88"/>
      <c r="G22" s="15" t="s">
        <v>48</v>
      </c>
      <c r="H22" s="16">
        <v>1.1000000000000001</v>
      </c>
    </row>
    <row r="23" spans="1:9" x14ac:dyDescent="0.2">
      <c r="A23" s="12"/>
      <c r="B23" s="12"/>
      <c r="C23" s="12"/>
      <c r="D23" s="12"/>
      <c r="G23" s="31"/>
      <c r="H23" s="20"/>
    </row>
    <row r="24" spans="1:9" x14ac:dyDescent="0.2">
      <c r="A24" s="82" t="s">
        <v>56</v>
      </c>
      <c r="B24" s="82"/>
      <c r="C24" s="82"/>
      <c r="D24" s="82"/>
      <c r="E24" s="82"/>
      <c r="F24" s="82"/>
      <c r="G24" s="13" t="s">
        <v>55</v>
      </c>
      <c r="H24" s="23">
        <f>H22*G8*B8/(2*(H19+H22*G8))</f>
        <v>13.803440836043503</v>
      </c>
      <c r="I24" s="13" t="s">
        <v>0</v>
      </c>
    </row>
    <row r="25" spans="1:9" s="12" customFormat="1" x14ac:dyDescent="0.2">
      <c r="E25" s="4"/>
      <c r="F25" s="4"/>
    </row>
    <row r="26" spans="1:9" s="12" customFormat="1" x14ac:dyDescent="0.2">
      <c r="A26" s="13"/>
      <c r="B26" s="18"/>
      <c r="C26" s="15"/>
      <c r="E26" s="4"/>
      <c r="F26" s="4"/>
    </row>
    <row r="27" spans="1:9" s="12" customFormat="1" ht="15" customHeight="1" x14ac:dyDescent="0.2">
      <c r="A27" s="84" t="s">
        <v>140</v>
      </c>
      <c r="B27" s="84"/>
      <c r="C27" s="84"/>
      <c r="D27" s="84"/>
      <c r="E27" s="84"/>
      <c r="F27" s="84"/>
    </row>
    <row r="28" spans="1:9" x14ac:dyDescent="0.2">
      <c r="B28" s="12" t="s">
        <v>62</v>
      </c>
      <c r="C28" s="12"/>
      <c r="D28" s="12"/>
      <c r="G28" s="32" t="s">
        <v>50</v>
      </c>
      <c r="H28" s="14">
        <f>2.05*10^5</f>
        <v>204999.99999999997</v>
      </c>
      <c r="I28" s="15" t="s">
        <v>21</v>
      </c>
    </row>
    <row r="29" spans="1:9" x14ac:dyDescent="0.2">
      <c r="B29" s="12" t="s">
        <v>51</v>
      </c>
      <c r="C29" s="12"/>
      <c r="D29" s="12"/>
      <c r="G29" s="32" t="s">
        <v>52</v>
      </c>
      <c r="H29" s="14">
        <f>1.2*10^(-5)</f>
        <v>1.2E-5</v>
      </c>
      <c r="I29" s="15" t="s">
        <v>24</v>
      </c>
    </row>
    <row r="30" spans="1:9" x14ac:dyDescent="0.2">
      <c r="B30" s="12" t="s">
        <v>53</v>
      </c>
      <c r="C30" s="12"/>
      <c r="D30" s="12"/>
      <c r="G30" s="33" t="s">
        <v>54</v>
      </c>
      <c r="H30" s="15">
        <v>0.3</v>
      </c>
      <c r="I30" s="12"/>
    </row>
    <row r="31" spans="1:9" ht="15" x14ac:dyDescent="0.2">
      <c r="A31" s="12"/>
      <c r="B31" s="12"/>
      <c r="C31" s="12"/>
      <c r="D31" s="12"/>
      <c r="G31" s="34"/>
      <c r="H31" s="15"/>
      <c r="I31" s="12"/>
    </row>
    <row r="32" spans="1:9" s="12" customFormat="1" x14ac:dyDescent="0.2">
      <c r="A32" s="82" t="s">
        <v>57</v>
      </c>
      <c r="B32" s="82"/>
      <c r="C32" s="82"/>
      <c r="D32" s="82"/>
      <c r="E32" s="82"/>
      <c r="F32" s="82"/>
      <c r="G32" s="13" t="s">
        <v>153</v>
      </c>
      <c r="H32" s="23">
        <f>-H29*H28*(F8-E8)+H30*H22*G8*(B8-2*H24)/(2*H24)</f>
        <v>-56.400058309037874</v>
      </c>
      <c r="I32" s="13" t="s">
        <v>21</v>
      </c>
    </row>
    <row r="33" spans="1:9" s="12" customFormat="1" ht="12.75" x14ac:dyDescent="0.2"/>
    <row r="34" spans="1:9" s="12" customFormat="1" ht="12.75" x14ac:dyDescent="0.2"/>
    <row r="35" spans="1:9" s="12" customFormat="1" ht="29.1" customHeight="1" x14ac:dyDescent="0.2">
      <c r="A35" s="86" t="s">
        <v>58</v>
      </c>
      <c r="B35" s="86"/>
      <c r="C35" s="86"/>
      <c r="D35" s="86"/>
      <c r="E35" s="86"/>
      <c r="F35" s="86"/>
      <c r="G35" s="35" t="s">
        <v>169</v>
      </c>
      <c r="H35" s="24">
        <f>IF(H32&lt;0,SQRT(1-0.75*(ABS(H32)/H19)^2)-0.5*ABS(H32)/H19,1)</f>
        <v>0.84165497334199579</v>
      </c>
    </row>
    <row r="36" spans="1:9" s="12" customFormat="1" ht="12.75" x14ac:dyDescent="0.2"/>
    <row r="37" spans="1:9" s="12" customFormat="1" ht="12.75" x14ac:dyDescent="0.2"/>
    <row r="38" spans="1:9" s="12" customFormat="1" ht="29.1" customHeight="1" x14ac:dyDescent="0.2">
      <c r="A38" s="81" t="s">
        <v>59</v>
      </c>
      <c r="B38" s="81"/>
      <c r="C38" s="81"/>
      <c r="D38" s="81"/>
      <c r="E38" s="81"/>
      <c r="F38" s="81"/>
      <c r="G38" s="13" t="s">
        <v>60</v>
      </c>
      <c r="H38" s="23">
        <f>H22*G8*B8/(2*H35*H19+H22*G8)</f>
        <v>16.552400584547232</v>
      </c>
      <c r="I38" s="13" t="s">
        <v>0</v>
      </c>
    </row>
    <row r="39" spans="1:9" s="12" customFormat="1" ht="12.75" x14ac:dyDescent="0.2"/>
    <row r="40" spans="1:9" s="12" customFormat="1" ht="12.75" x14ac:dyDescent="0.2"/>
    <row r="41" spans="1:9" s="12" customFormat="1" ht="12.75" x14ac:dyDescent="0.2">
      <c r="A41" s="36" t="s">
        <v>26</v>
      </c>
      <c r="B41" s="25" t="s">
        <v>145</v>
      </c>
      <c r="C41" s="25"/>
      <c r="D41" s="25"/>
      <c r="G41" s="13" t="s">
        <v>60</v>
      </c>
      <c r="H41" s="37">
        <f>ROUNDUP(H38,0)+1</f>
        <v>18</v>
      </c>
      <c r="I41" s="25" t="s">
        <v>0</v>
      </c>
    </row>
    <row r="42" spans="1:9" s="12" customFormat="1" ht="12.75" x14ac:dyDescent="0.2"/>
    <row r="43" spans="1:9" s="12" customFormat="1" ht="12.75" x14ac:dyDescent="0.2"/>
    <row r="48" spans="1:9" s="12" customFormat="1" ht="12.75" x14ac:dyDescent="0.2"/>
    <row r="49" s="12" customFormat="1" ht="12.75" x14ac:dyDescent="0.2"/>
    <row r="50" s="12" customFormat="1" ht="12.75" x14ac:dyDescent="0.2"/>
    <row r="51" s="12" customFormat="1" ht="12.75" x14ac:dyDescent="0.2"/>
    <row r="52" s="12" customFormat="1" ht="12.75" x14ac:dyDescent="0.2"/>
    <row r="53" s="12" customFormat="1" ht="12.75" x14ac:dyDescent="0.2"/>
    <row r="54" s="12" customFormat="1" ht="12.75" x14ac:dyDescent="0.2"/>
    <row r="55" s="12" customFormat="1" ht="12.75" x14ac:dyDescent="0.2"/>
    <row r="56" s="12" customFormat="1" ht="12.75" x14ac:dyDescent="0.2"/>
    <row r="57" s="12" customFormat="1" ht="12.75" x14ac:dyDescent="0.2"/>
    <row r="58" s="12" customFormat="1" ht="12.75" x14ac:dyDescent="0.2"/>
    <row r="59" s="12" customFormat="1" ht="12.75" x14ac:dyDescent="0.2"/>
    <row r="60" s="12" customFormat="1" ht="12.75" x14ac:dyDescent="0.2"/>
    <row r="61" s="12" customFormat="1" ht="12.75" x14ac:dyDescent="0.2"/>
    <row r="62" s="12" customFormat="1" ht="12.75" x14ac:dyDescent="0.2"/>
    <row r="63" s="12" customFormat="1" ht="12.75" x14ac:dyDescent="0.2"/>
    <row r="64" s="12" customFormat="1" ht="12.75" x14ac:dyDescent="0.2"/>
    <row r="65" s="12" customFormat="1" ht="12.75" x14ac:dyDescent="0.2"/>
    <row r="66" s="12" customFormat="1" ht="12.75" x14ac:dyDescent="0.2"/>
    <row r="67" s="12" customFormat="1" ht="12.75" x14ac:dyDescent="0.2"/>
    <row r="68" s="12" customFormat="1" ht="12.75" x14ac:dyDescent="0.2"/>
    <row r="69" s="12" customFormat="1" ht="12.75" x14ac:dyDescent="0.2"/>
    <row r="70" s="12" customFormat="1" ht="12.75" x14ac:dyDescent="0.2"/>
    <row r="71" s="12" customFormat="1" ht="12.75" x14ac:dyDescent="0.2"/>
    <row r="72" s="12" customFormat="1" ht="12.75" x14ac:dyDescent="0.2"/>
    <row r="73" s="12" customFormat="1" ht="12.75" x14ac:dyDescent="0.2"/>
    <row r="74" s="12" customFormat="1" ht="12.75" x14ac:dyDescent="0.2"/>
    <row r="75" s="12" customFormat="1" ht="12.75" x14ac:dyDescent="0.2"/>
    <row r="76" s="12" customFormat="1" ht="12.75" x14ac:dyDescent="0.2"/>
    <row r="77" s="12" customFormat="1" ht="12.75" x14ac:dyDescent="0.2"/>
    <row r="78" s="12" customFormat="1" ht="12.75" x14ac:dyDescent="0.2"/>
    <row r="79" s="12" customFormat="1" ht="12.75" x14ac:dyDescent="0.2"/>
    <row r="80" s="12" customFormat="1" ht="12.75" x14ac:dyDescent="0.2"/>
    <row r="81" s="12" customFormat="1" ht="12.75" x14ac:dyDescent="0.2"/>
    <row r="82" s="12" customFormat="1" ht="12.75" x14ac:dyDescent="0.2"/>
    <row r="83" s="12" customFormat="1" ht="12.75" x14ac:dyDescent="0.2"/>
    <row r="84" s="12" customFormat="1" ht="12.75" x14ac:dyDescent="0.2"/>
    <row r="85" s="12" customFormat="1" ht="12.75" x14ac:dyDescent="0.2"/>
    <row r="86" s="12" customFormat="1" ht="12.75" x14ac:dyDescent="0.2"/>
    <row r="87" s="12" customFormat="1" ht="12.75" x14ac:dyDescent="0.2"/>
    <row r="88" s="12" customFormat="1" ht="12.75" x14ac:dyDescent="0.2"/>
    <row r="89" s="12" customFormat="1" ht="12.75" x14ac:dyDescent="0.2"/>
    <row r="90" s="12" customFormat="1" ht="12.75" x14ac:dyDescent="0.2"/>
    <row r="91" s="12" customFormat="1" ht="12.75" x14ac:dyDescent="0.2"/>
    <row r="92" s="12" customFormat="1" ht="12.75" x14ac:dyDescent="0.2"/>
    <row r="93" s="12" customFormat="1" ht="12.75" x14ac:dyDescent="0.2"/>
  </sheetData>
  <mergeCells count="20">
    <mergeCell ref="A38:F38"/>
    <mergeCell ref="A24:F24"/>
    <mergeCell ref="A19:F19"/>
    <mergeCell ref="A11:G11"/>
    <mergeCell ref="A27:F27"/>
    <mergeCell ref="B12:F12"/>
    <mergeCell ref="B13:F13"/>
    <mergeCell ref="A32:F32"/>
    <mergeCell ref="A35:F35"/>
    <mergeCell ref="G14:I14"/>
    <mergeCell ref="A22:F22"/>
    <mergeCell ref="A16:F16"/>
    <mergeCell ref="A17:F17"/>
    <mergeCell ref="A15:F15"/>
    <mergeCell ref="A14:F14"/>
    <mergeCell ref="A5:I5"/>
    <mergeCell ref="A1:I1"/>
    <mergeCell ref="A2:I2"/>
    <mergeCell ref="A3:I3"/>
    <mergeCell ref="A10:I10"/>
  </mergeCells>
  <dataValidations count="1">
    <dataValidation type="list" allowBlank="1" showInputMessage="1" showErrorMessage="1" sqref="G14">
      <formula1>МТ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110" zoomScaleNormal="110" workbookViewId="0">
      <selection activeCell="K59" sqref="K59"/>
    </sheetView>
  </sheetViews>
  <sheetFormatPr defaultRowHeight="14.25" x14ac:dyDescent="0.2"/>
  <cols>
    <col min="1" max="1" width="10" style="4" customWidth="1"/>
    <col min="2" max="2" width="9.5703125" style="4" bestFit="1" customWidth="1"/>
    <col min="3" max="3" width="11.5703125" style="4" customWidth="1"/>
    <col min="4" max="16384" width="9.140625" style="4"/>
  </cols>
  <sheetData>
    <row r="1" spans="1:9" ht="27.75" customHeight="1" x14ac:dyDescent="0.2">
      <c r="A1" s="78" t="s">
        <v>11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79" t="s">
        <v>13</v>
      </c>
      <c r="B2" s="79"/>
      <c r="C2" s="79"/>
      <c r="D2" s="79"/>
      <c r="E2" s="79"/>
      <c r="F2" s="79"/>
      <c r="G2" s="79"/>
      <c r="H2" s="79"/>
      <c r="I2" s="79"/>
    </row>
    <row r="3" spans="1:9" ht="71.25" customHeight="1" x14ac:dyDescent="0.2">
      <c r="A3" s="93" t="s">
        <v>146</v>
      </c>
      <c r="B3" s="93"/>
      <c r="C3" s="93"/>
      <c r="D3" s="93"/>
      <c r="E3" s="93"/>
      <c r="F3" s="93"/>
      <c r="G3" s="93"/>
      <c r="H3" s="93"/>
      <c r="I3" s="93"/>
    </row>
    <row r="5" spans="1:9" ht="15" thickBot="1" x14ac:dyDescent="0.25">
      <c r="A5" s="77" t="s">
        <v>61</v>
      </c>
      <c r="B5" s="77"/>
      <c r="C5" s="77"/>
      <c r="D5" s="77"/>
      <c r="E5" s="77"/>
      <c r="F5" s="77"/>
      <c r="G5" s="77"/>
      <c r="H5" s="77"/>
      <c r="I5" s="77"/>
    </row>
    <row r="6" spans="1:9" ht="26.25" thickBot="1" x14ac:dyDescent="0.25">
      <c r="A6" s="5" t="s">
        <v>9</v>
      </c>
      <c r="B6" s="5" t="s">
        <v>147</v>
      </c>
      <c r="C6" s="5" t="s">
        <v>1</v>
      </c>
      <c r="D6" s="5" t="s">
        <v>148</v>
      </c>
      <c r="E6" s="5" t="s">
        <v>149</v>
      </c>
      <c r="F6" s="5" t="s">
        <v>150</v>
      </c>
      <c r="G6" s="5" t="s">
        <v>7</v>
      </c>
      <c r="H6" s="5" t="s">
        <v>8</v>
      </c>
      <c r="I6" s="5" t="s">
        <v>151</v>
      </c>
    </row>
    <row r="7" spans="1:9" ht="13.5" customHeight="1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5" thickBot="1" x14ac:dyDescent="0.25">
      <c r="A8" s="7">
        <f>'Работа 1'!A8</f>
        <v>6</v>
      </c>
      <c r="B8" s="7">
        <f>'Работа 1'!B8</f>
        <v>1220</v>
      </c>
      <c r="C8" s="7" t="str">
        <f>'Работа 1'!C8</f>
        <v>В</v>
      </c>
      <c r="D8" s="7">
        <f>'Работа 1'!D8</f>
        <v>870</v>
      </c>
      <c r="E8" s="7">
        <f>'Работа 1'!E8</f>
        <v>-37</v>
      </c>
      <c r="F8" s="7">
        <f>'Работа 1'!F8</f>
        <v>12</v>
      </c>
      <c r="G8" s="7">
        <f>'Работа 1'!G8</f>
        <v>4.5</v>
      </c>
      <c r="H8" s="7" t="str">
        <f>'Работа 1'!H8</f>
        <v>12Г2СБ</v>
      </c>
      <c r="I8" s="7">
        <f>'Работа 1'!I8</f>
        <v>1.47</v>
      </c>
    </row>
    <row r="9" spans="1:9" x14ac:dyDescent="0.2">
      <c r="I9" s="8"/>
    </row>
    <row r="10" spans="1:9" x14ac:dyDescent="0.2">
      <c r="A10" s="79" t="s">
        <v>14</v>
      </c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9" t="s">
        <v>47</v>
      </c>
      <c r="B11" s="10"/>
      <c r="C11" s="10"/>
      <c r="G11" s="94" t="s">
        <v>18</v>
      </c>
      <c r="H11" s="94"/>
      <c r="I11" s="94"/>
    </row>
    <row r="12" spans="1:9" x14ac:dyDescent="0.2">
      <c r="A12" s="84" t="s">
        <v>140</v>
      </c>
      <c r="B12" s="84"/>
      <c r="C12" s="84"/>
      <c r="D12" s="84"/>
      <c r="E12" s="84"/>
      <c r="F12" s="84"/>
      <c r="G12" s="11"/>
      <c r="H12" s="11"/>
      <c r="I12" s="11"/>
    </row>
    <row r="13" spans="1:9" x14ac:dyDescent="0.2">
      <c r="B13" s="12" t="s">
        <v>62</v>
      </c>
      <c r="C13" s="12"/>
      <c r="D13" s="12"/>
      <c r="G13" s="13" t="s">
        <v>50</v>
      </c>
      <c r="H13" s="14">
        <f>2.05*10^5</f>
        <v>204999.99999999997</v>
      </c>
      <c r="I13" s="15" t="s">
        <v>21</v>
      </c>
    </row>
    <row r="14" spans="1:9" s="12" customFormat="1" ht="12.75" x14ac:dyDescent="0.2">
      <c r="B14" s="12" t="s">
        <v>51</v>
      </c>
      <c r="G14" s="13" t="s">
        <v>52</v>
      </c>
      <c r="H14" s="14">
        <f>1.2*10^(-5)</f>
        <v>1.2E-5</v>
      </c>
      <c r="I14" s="15" t="s">
        <v>24</v>
      </c>
    </row>
    <row r="15" spans="1:9" s="12" customFormat="1" ht="12.75" x14ac:dyDescent="0.2">
      <c r="B15" s="12" t="s">
        <v>170</v>
      </c>
      <c r="G15" s="13" t="s">
        <v>54</v>
      </c>
      <c r="H15" s="15">
        <v>0.3</v>
      </c>
    </row>
    <row r="16" spans="1:9" s="12" customFormat="1" ht="29.1" customHeight="1" x14ac:dyDescent="0.2">
      <c r="A16" s="92" t="s">
        <v>141</v>
      </c>
      <c r="B16" s="92"/>
      <c r="C16" s="92"/>
      <c r="D16" s="92"/>
      <c r="E16" s="92"/>
      <c r="F16" s="92"/>
      <c r="G16" s="13" t="s">
        <v>48</v>
      </c>
      <c r="H16" s="16">
        <v>1.1000000000000001</v>
      </c>
      <c r="I16" s="17"/>
    </row>
    <row r="18" spans="1:9" x14ac:dyDescent="0.2">
      <c r="A18" s="84" t="s">
        <v>64</v>
      </c>
      <c r="B18" s="84"/>
      <c r="C18" s="84"/>
      <c r="D18" s="84"/>
      <c r="E18" s="84"/>
      <c r="F18" s="84"/>
      <c r="G18" s="13" t="s">
        <v>55</v>
      </c>
      <c r="H18" s="18">
        <f>'Работа 1'!H41</f>
        <v>18</v>
      </c>
      <c r="I18" s="15" t="s">
        <v>0</v>
      </c>
    </row>
    <row r="19" spans="1:9" x14ac:dyDescent="0.2">
      <c r="D19" s="12"/>
    </row>
    <row r="20" spans="1:9" ht="29.1" customHeight="1" x14ac:dyDescent="0.2">
      <c r="A20" s="92" t="s">
        <v>65</v>
      </c>
      <c r="B20" s="92"/>
      <c r="C20" s="92"/>
      <c r="D20" s="92"/>
      <c r="E20" s="92"/>
      <c r="F20" s="92"/>
      <c r="G20" s="13" t="s">
        <v>152</v>
      </c>
      <c r="H20" s="15">
        <f>B8-2*H18</f>
        <v>1184</v>
      </c>
      <c r="I20" s="15" t="s">
        <v>0</v>
      </c>
    </row>
    <row r="21" spans="1:9" x14ac:dyDescent="0.2">
      <c r="D21" s="12"/>
      <c r="G21" s="19"/>
      <c r="H21" s="19"/>
    </row>
    <row r="22" spans="1:9" x14ac:dyDescent="0.2">
      <c r="A22" s="84" t="s">
        <v>57</v>
      </c>
      <c r="B22" s="84"/>
      <c r="C22" s="84"/>
      <c r="D22" s="84"/>
      <c r="E22" s="84"/>
      <c r="F22" s="84"/>
      <c r="G22" s="13" t="s">
        <v>153</v>
      </c>
      <c r="H22" s="15">
        <f>-H14*H13*(F8-E8)+H15*H16*G8*H20/(2*H18)</f>
        <v>-71.699999999999974</v>
      </c>
      <c r="I22" s="15" t="s">
        <v>21</v>
      </c>
    </row>
    <row r="25" spans="1:9" x14ac:dyDescent="0.2">
      <c r="A25" s="84" t="s">
        <v>66</v>
      </c>
      <c r="B25" s="84"/>
      <c r="C25" s="84"/>
      <c r="D25" s="84"/>
      <c r="E25" s="84"/>
      <c r="F25" s="84"/>
      <c r="G25" s="13" t="s">
        <v>154</v>
      </c>
      <c r="H25" s="18">
        <f>H16*G8*H20/(2*H18)</f>
        <v>162.80000000000001</v>
      </c>
      <c r="I25" s="15" t="s">
        <v>21</v>
      </c>
    </row>
    <row r="26" spans="1:9" x14ac:dyDescent="0.2">
      <c r="D26" s="12"/>
    </row>
    <row r="27" spans="1:9" s="12" customFormat="1" ht="29.1" customHeight="1" x14ac:dyDescent="0.2">
      <c r="A27" s="83" t="s">
        <v>144</v>
      </c>
      <c r="B27" s="83"/>
      <c r="C27" s="83"/>
      <c r="D27" s="83"/>
      <c r="E27" s="83"/>
      <c r="F27" s="83"/>
      <c r="G27" s="83"/>
    </row>
    <row r="28" spans="1:9" s="12" customFormat="1" x14ac:dyDescent="0.2">
      <c r="B28" s="85" t="s">
        <v>46</v>
      </c>
      <c r="C28" s="85"/>
      <c r="D28" s="85"/>
      <c r="E28" s="85"/>
      <c r="F28" s="85"/>
      <c r="G28" s="13" t="s">
        <v>155</v>
      </c>
      <c r="H28" s="20">
        <f>'Работа 1'!H12</f>
        <v>550</v>
      </c>
      <c r="I28" s="15" t="s">
        <v>21</v>
      </c>
    </row>
    <row r="29" spans="1:9" x14ac:dyDescent="0.2">
      <c r="B29" s="85" t="s">
        <v>63</v>
      </c>
      <c r="C29" s="85"/>
      <c r="D29" s="85"/>
      <c r="E29" s="85"/>
      <c r="F29" s="85"/>
      <c r="G29" s="13" t="s">
        <v>156</v>
      </c>
      <c r="H29" s="20">
        <f>'Работа 1'!H13</f>
        <v>380</v>
      </c>
      <c r="I29" s="15" t="s">
        <v>21</v>
      </c>
    </row>
    <row r="30" spans="1:9" x14ac:dyDescent="0.2">
      <c r="A30" s="85" t="s">
        <v>142</v>
      </c>
      <c r="B30" s="85"/>
      <c r="C30" s="85"/>
      <c r="D30" s="85"/>
      <c r="E30" s="85"/>
      <c r="F30" s="85"/>
      <c r="G30" s="13" t="s">
        <v>49</v>
      </c>
      <c r="H30" s="16">
        <f>VLOOKUP(C8,Справочное!A2:B6,2,FALSE)</f>
        <v>0.6</v>
      </c>
    </row>
    <row r="31" spans="1:9" x14ac:dyDescent="0.2">
      <c r="A31" s="85" t="s">
        <v>143</v>
      </c>
      <c r="B31" s="85"/>
      <c r="C31" s="85"/>
      <c r="D31" s="85"/>
      <c r="E31" s="85"/>
      <c r="F31" s="85"/>
      <c r="G31" s="13" t="s">
        <v>157</v>
      </c>
      <c r="H31" s="21">
        <f>'Работа 1'!H16</f>
        <v>1.05</v>
      </c>
    </row>
    <row r="32" spans="1:9" ht="29.1" customHeight="1" x14ac:dyDescent="0.2">
      <c r="A32" s="90" t="s">
        <v>158</v>
      </c>
      <c r="B32" s="90"/>
      <c r="C32" s="90"/>
      <c r="D32" s="90"/>
      <c r="E32" s="90"/>
      <c r="F32" s="90"/>
      <c r="G32" s="13" t="s">
        <v>159</v>
      </c>
      <c r="H32" s="22">
        <f>'Работа 1'!H17</f>
        <v>550</v>
      </c>
      <c r="I32" s="13" t="s">
        <v>21</v>
      </c>
    </row>
    <row r="33" spans="1:9" ht="29.1" customHeight="1" x14ac:dyDescent="0.2">
      <c r="A33" s="81" t="s">
        <v>139</v>
      </c>
      <c r="B33" s="81"/>
      <c r="C33" s="81"/>
      <c r="D33" s="81"/>
      <c r="E33" s="81"/>
      <c r="F33" s="81"/>
      <c r="G33" s="13" t="s">
        <v>160</v>
      </c>
      <c r="H33" s="23">
        <f>H28*H30/(I8*H31)</f>
        <v>213.79980563654033</v>
      </c>
      <c r="I33" s="13" t="s">
        <v>21</v>
      </c>
    </row>
    <row r="34" spans="1:9" x14ac:dyDescent="0.2">
      <c r="D34" s="12"/>
    </row>
    <row r="35" spans="1:9" ht="29.1" customHeight="1" x14ac:dyDescent="0.2">
      <c r="A35" s="81" t="s">
        <v>58</v>
      </c>
      <c r="B35" s="81"/>
      <c r="C35" s="81"/>
      <c r="D35" s="81"/>
      <c r="E35" s="81"/>
      <c r="F35" s="81"/>
      <c r="G35" s="13" t="s">
        <v>161</v>
      </c>
      <c r="H35" s="24">
        <f>IF(H22&lt;0,SQRT(1-0.75*(H25/H33)^2)-0.5*H25/H33,1)</f>
        <v>0.3710239499729947</v>
      </c>
    </row>
    <row r="36" spans="1:9" x14ac:dyDescent="0.2">
      <c r="C36" s="12"/>
    </row>
    <row r="37" spans="1:9" x14ac:dyDescent="0.2">
      <c r="A37" s="25" t="s">
        <v>27</v>
      </c>
    </row>
    <row r="38" spans="1:9" x14ac:dyDescent="0.2">
      <c r="A38" s="15">
        <f>ABS(H22)</f>
        <v>71.699999999999974</v>
      </c>
      <c r="B38" s="15" t="s">
        <v>21</v>
      </c>
      <c r="C38" s="15" t="str">
        <f>IF(A38&lt;D38,"&lt;","&gt;")</f>
        <v>&lt;</v>
      </c>
      <c r="D38" s="26">
        <f>H35*H33</f>
        <v>79.324848390727723</v>
      </c>
      <c r="E38" s="15" t="s">
        <v>21</v>
      </c>
      <c r="F38" s="25" t="str">
        <f>IF(C38="&lt;"," - проверка на прочность выполняется"," - проверка на прочность не выполняется")</f>
        <v xml:space="preserve"> - проверка на прочность выполняется</v>
      </c>
    </row>
    <row r="39" spans="1:9" x14ac:dyDescent="0.2">
      <c r="A39" s="12"/>
      <c r="B39" s="18"/>
      <c r="C39" s="15"/>
    </row>
    <row r="40" spans="1:9" s="12" customFormat="1" x14ac:dyDescent="0.2">
      <c r="A40" s="91" t="s">
        <v>67</v>
      </c>
      <c r="B40" s="91"/>
      <c r="C40" s="91"/>
      <c r="D40" s="91"/>
      <c r="E40" s="91"/>
      <c r="F40" s="91"/>
      <c r="G40" s="13" t="s">
        <v>162</v>
      </c>
      <c r="H40" s="23">
        <f>G8*H20/(2*H18)</f>
        <v>148</v>
      </c>
      <c r="I40" s="13" t="s">
        <v>21</v>
      </c>
    </row>
    <row r="41" spans="1:9" s="12" customFormat="1" ht="12.75" x14ac:dyDescent="0.2"/>
    <row r="42" spans="1:9" ht="27" customHeight="1" x14ac:dyDescent="0.2">
      <c r="A42" s="92" t="s">
        <v>68</v>
      </c>
      <c r="B42" s="92"/>
      <c r="C42" s="92"/>
      <c r="D42" s="92"/>
      <c r="E42" s="92"/>
      <c r="F42" s="92"/>
      <c r="G42" s="92"/>
      <c r="H42" s="92"/>
      <c r="I42" s="92"/>
    </row>
    <row r="43" spans="1:9" s="12" customFormat="1" x14ac:dyDescent="0.2">
      <c r="A43" s="13" t="s">
        <v>163</v>
      </c>
      <c r="B43" s="18">
        <f>H15*H40-H14*H13*(F8-E8)+H13*B8/(2*B8*1000)</f>
        <v>26.36</v>
      </c>
      <c r="C43" s="15" t="s">
        <v>21</v>
      </c>
    </row>
    <row r="44" spans="1:9" s="12" customFormat="1" x14ac:dyDescent="0.2">
      <c r="A44" s="13" t="s">
        <v>163</v>
      </c>
      <c r="B44" s="18">
        <f>H15*H40-H14*H13*(F8-E8)-H13*B8/(2*B8*1000)</f>
        <v>-178.64</v>
      </c>
      <c r="C44" s="15" t="s">
        <v>21</v>
      </c>
    </row>
    <row r="45" spans="1:9" s="12" customFormat="1" ht="12.75" x14ac:dyDescent="0.2"/>
    <row r="46" spans="1:9" s="12" customFormat="1" ht="29.1" customHeight="1" x14ac:dyDescent="0.2">
      <c r="A46" s="81" t="s">
        <v>28</v>
      </c>
      <c r="B46" s="81"/>
      <c r="C46" s="81"/>
      <c r="D46" s="81"/>
      <c r="E46" s="81"/>
      <c r="F46" s="81"/>
      <c r="G46" s="13" t="s">
        <v>164</v>
      </c>
      <c r="H46" s="24">
        <f>SQRT(1-0.75*(H40/(H30/(0.9*H31)*H29))^2)-0.5*(H40/(H30/(0.9*H31)*H29))</f>
        <v>0.54051197051799638</v>
      </c>
    </row>
    <row r="47" spans="1:9" s="12" customFormat="1" ht="12.75" x14ac:dyDescent="0.2"/>
    <row r="48" spans="1:9" s="12" customFormat="1" ht="12.75" x14ac:dyDescent="0.2">
      <c r="A48" s="25" t="s">
        <v>29</v>
      </c>
    </row>
    <row r="49" spans="1:9" s="12" customFormat="1" ht="39.75" customHeight="1" x14ac:dyDescent="0.2">
      <c r="A49" s="15">
        <f>ABS(B43)</f>
        <v>26.36</v>
      </c>
      <c r="B49" s="15" t="s">
        <v>21</v>
      </c>
      <c r="C49" s="15" t="str">
        <f>IF(A49&lt;D49,"&lt;","&gt;")</f>
        <v>&lt;</v>
      </c>
      <c r="D49" s="18">
        <f>IF(B43&gt;0,1*H30/(0.9*H31)*H29,H46*H30/(0.9*H31)*H29)</f>
        <v>241.26984126984127</v>
      </c>
      <c r="E49" s="15" t="s">
        <v>21</v>
      </c>
      <c r="F49" s="81" t="str">
        <f>IF(C49="&lt;"," - проверка на недопустимость пластических деформаций выполняется"," - проверка на недопустимость пластических деформаций не выполняется")</f>
        <v xml:space="preserve"> - проверка на недопустимость пластических деформаций выполняется</v>
      </c>
      <c r="G49" s="81"/>
      <c r="H49" s="81"/>
      <c r="I49" s="81"/>
    </row>
    <row r="50" spans="1:9" s="12" customFormat="1" ht="12.75" x14ac:dyDescent="0.2">
      <c r="A50" s="15"/>
      <c r="B50" s="15"/>
      <c r="C50" s="15"/>
      <c r="D50" s="18"/>
      <c r="E50" s="15"/>
      <c r="F50" s="25"/>
    </row>
    <row r="51" spans="1:9" s="12" customFormat="1" ht="38.25" customHeight="1" x14ac:dyDescent="0.2">
      <c r="A51" s="15">
        <f>ABS(B44)</f>
        <v>178.64</v>
      </c>
      <c r="B51" s="15" t="s">
        <v>21</v>
      </c>
      <c r="C51" s="15" t="str">
        <f>IF(A51&lt;D51,"&lt;","&gt;")</f>
        <v>&gt;</v>
      </c>
      <c r="D51" s="18">
        <f>IF(B44&gt;0,1*H30/(0.9*H31)*H29,H46*H30/(0.9*H31)*H29)</f>
        <v>130.4092373313261</v>
      </c>
      <c r="E51" s="15" t="s">
        <v>21</v>
      </c>
      <c r="F51" s="81" t="str">
        <f>IF(C51="&lt;"," - проверка на недопустимость пластических деформаций выполняется"," - проверка на недопустимость пластических деформаций не выполняется")</f>
        <v xml:space="preserve"> - проверка на недопустимость пластических деформаций не выполняется</v>
      </c>
      <c r="G51" s="81"/>
      <c r="H51" s="81"/>
      <c r="I51" s="81"/>
    </row>
    <row r="52" spans="1:9" s="12" customFormat="1" ht="12.75" x14ac:dyDescent="0.2"/>
    <row r="53" spans="1:9" ht="40.5" customHeight="1" x14ac:dyDescent="0.2">
      <c r="A53" s="15">
        <f>H40</f>
        <v>148</v>
      </c>
      <c r="B53" s="15" t="s">
        <v>21</v>
      </c>
      <c r="C53" s="15" t="str">
        <f>IF(A53&lt;D53,"&lt;","&gt;")</f>
        <v>&lt;</v>
      </c>
      <c r="D53" s="18">
        <f>H30/(0.9*H31)*H29</f>
        <v>241.26984126984127</v>
      </c>
      <c r="E53" s="15" t="s">
        <v>21</v>
      </c>
      <c r="F53" s="81" t="str">
        <f>IF(C53="&lt;"," - проверка на недопустимость пластических деформаций выполняется"," - проверка на недопустимость пластических деформаций не выполняется")</f>
        <v xml:space="preserve"> - проверка на недопустимость пластических деформаций выполняется</v>
      </c>
      <c r="G53" s="81"/>
      <c r="H53" s="81"/>
      <c r="I53" s="81"/>
    </row>
    <row r="56" spans="1:9" ht="28.5" customHeight="1" x14ac:dyDescent="0.2">
      <c r="A56" s="108" t="s">
        <v>226</v>
      </c>
      <c r="C56" s="109" t="s">
        <v>227</v>
      </c>
      <c r="D56" s="109"/>
      <c r="E56" s="109"/>
      <c r="F56" s="109"/>
      <c r="G56" s="109"/>
      <c r="H56" s="109"/>
      <c r="I56" s="109"/>
    </row>
    <row r="59" spans="1:9" s="12" customFormat="1" ht="12.75" x14ac:dyDescent="0.2"/>
    <row r="60" spans="1:9" s="12" customFormat="1" ht="12.75" x14ac:dyDescent="0.2"/>
    <row r="61" spans="1:9" s="12" customFormat="1" ht="12.75" x14ac:dyDescent="0.2"/>
    <row r="62" spans="1:9" s="12" customFormat="1" ht="12.75" x14ac:dyDescent="0.2"/>
    <row r="63" spans="1:9" s="12" customFormat="1" ht="12.75" x14ac:dyDescent="0.2"/>
    <row r="64" spans="1:9" s="12" customFormat="1" ht="12.75" x14ac:dyDescent="0.2"/>
    <row r="65" s="12" customFormat="1" ht="12.75" x14ac:dyDescent="0.2"/>
    <row r="66" s="12" customFormat="1" ht="12.75" x14ac:dyDescent="0.2"/>
    <row r="67" s="12" customFormat="1" ht="12.75" x14ac:dyDescent="0.2"/>
    <row r="68" s="12" customFormat="1" ht="12.75" x14ac:dyDescent="0.2"/>
    <row r="69" s="12" customFormat="1" ht="12.75" x14ac:dyDescent="0.2"/>
    <row r="70" s="12" customFormat="1" ht="12.75" x14ac:dyDescent="0.2"/>
    <row r="71" s="12" customFormat="1" ht="12.75" x14ac:dyDescent="0.2"/>
    <row r="72" s="12" customFormat="1" ht="12.75" x14ac:dyDescent="0.2"/>
    <row r="73" s="12" customFormat="1" ht="12.75" x14ac:dyDescent="0.2"/>
    <row r="74" s="12" customFormat="1" ht="12.75" x14ac:dyDescent="0.2"/>
    <row r="75" s="12" customFormat="1" ht="12.75" x14ac:dyDescent="0.2"/>
    <row r="76" s="12" customFormat="1" ht="12.75" x14ac:dyDescent="0.2"/>
    <row r="77" s="12" customFormat="1" ht="12.75" x14ac:dyDescent="0.2"/>
    <row r="78" s="12" customFormat="1" ht="12.75" x14ac:dyDescent="0.2"/>
    <row r="79" s="12" customFormat="1" ht="12.75" x14ac:dyDescent="0.2"/>
    <row r="80" s="12" customFormat="1" ht="12.75" x14ac:dyDescent="0.2"/>
    <row r="81" s="12" customFormat="1" ht="12.75" x14ac:dyDescent="0.2"/>
    <row r="82" s="12" customFormat="1" ht="12.75" x14ac:dyDescent="0.2"/>
    <row r="83" s="12" customFormat="1" ht="12.75" x14ac:dyDescent="0.2"/>
    <row r="84" s="12" customFormat="1" ht="12.75" x14ac:dyDescent="0.2"/>
    <row r="85" s="12" customFormat="1" ht="12.75" x14ac:dyDescent="0.2"/>
    <row r="86" s="12" customFormat="1" ht="12.75" x14ac:dyDescent="0.2"/>
    <row r="87" s="12" customFormat="1" ht="12.75" x14ac:dyDescent="0.2"/>
    <row r="88" s="12" customFormat="1" ht="12.75" x14ac:dyDescent="0.2"/>
    <row r="89" s="12" customFormat="1" ht="12.75" x14ac:dyDescent="0.2"/>
    <row r="90" s="12" customFormat="1" ht="12.75" x14ac:dyDescent="0.2"/>
    <row r="91" s="12" customFormat="1" ht="12.75" x14ac:dyDescent="0.2"/>
    <row r="92" s="12" customFormat="1" ht="12.75" x14ac:dyDescent="0.2"/>
    <row r="93" s="12" customFormat="1" ht="12.75" x14ac:dyDescent="0.2"/>
    <row r="94" s="12" customFormat="1" ht="12.75" x14ac:dyDescent="0.2"/>
    <row r="95" s="12" customFormat="1" ht="12.75" x14ac:dyDescent="0.2"/>
    <row r="96" s="12" customFormat="1" ht="12.75" x14ac:dyDescent="0.2"/>
    <row r="97" s="12" customFormat="1" ht="12.75" x14ac:dyDescent="0.2"/>
    <row r="98" s="12" customFormat="1" ht="12.75" x14ac:dyDescent="0.2"/>
    <row r="99" s="12" customFormat="1" ht="12.75" x14ac:dyDescent="0.2"/>
    <row r="100" s="12" customFormat="1" ht="12.75" x14ac:dyDescent="0.2"/>
    <row r="101" s="12" customFormat="1" ht="12.75" x14ac:dyDescent="0.2"/>
    <row r="102" s="12" customFormat="1" ht="12.75" x14ac:dyDescent="0.2"/>
    <row r="103" s="12" customFormat="1" ht="12.75" x14ac:dyDescent="0.2"/>
    <row r="104" s="12" customFormat="1" ht="12.75" x14ac:dyDescent="0.2"/>
    <row r="105" s="12" customFormat="1" ht="12.75" x14ac:dyDescent="0.2"/>
    <row r="106" s="12" customFormat="1" ht="12.75" x14ac:dyDescent="0.2"/>
  </sheetData>
  <mergeCells count="27">
    <mergeCell ref="F53:I53"/>
    <mergeCell ref="C56:I56"/>
    <mergeCell ref="F49:I49"/>
    <mergeCell ref="F51:I51"/>
    <mergeCell ref="A1:I1"/>
    <mergeCell ref="A5:I5"/>
    <mergeCell ref="A2:I2"/>
    <mergeCell ref="A3:I3"/>
    <mergeCell ref="A10:I10"/>
    <mergeCell ref="G11:I11"/>
    <mergeCell ref="A12:F12"/>
    <mergeCell ref="A16:F16"/>
    <mergeCell ref="A20:F20"/>
    <mergeCell ref="A18:F18"/>
    <mergeCell ref="A22:F22"/>
    <mergeCell ref="A25:F25"/>
    <mergeCell ref="A33:F33"/>
    <mergeCell ref="A40:F40"/>
    <mergeCell ref="A46:F46"/>
    <mergeCell ref="A27:G27"/>
    <mergeCell ref="A30:F30"/>
    <mergeCell ref="A42:I42"/>
    <mergeCell ref="A32:F32"/>
    <mergeCell ref="A31:F31"/>
    <mergeCell ref="B28:F28"/>
    <mergeCell ref="B29:F29"/>
    <mergeCell ref="A35:F35"/>
  </mergeCells>
  <dataValidations disablePrompts="1" count="1">
    <dataValidation type="list" allowBlank="1" showInputMessage="1" showErrorMessage="1" sqref="G11:G12">
      <formula1>МТ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110" zoomScaleNormal="110" workbookViewId="0">
      <selection activeCell="K21" sqref="K21"/>
    </sheetView>
  </sheetViews>
  <sheetFormatPr defaultRowHeight="12.75" x14ac:dyDescent="0.2"/>
  <cols>
    <col min="1" max="1" width="12.42578125" style="12" customWidth="1"/>
    <col min="2" max="2" width="11" style="12" bestFit="1" customWidth="1"/>
    <col min="3" max="3" width="11.5703125" style="12" customWidth="1"/>
    <col min="4" max="4" width="12" style="12" customWidth="1"/>
    <col min="5" max="5" width="11.7109375" style="12" customWidth="1"/>
    <col min="6" max="6" width="9.140625" style="12" customWidth="1"/>
    <col min="7" max="7" width="9.5703125" style="12" bestFit="1" customWidth="1"/>
    <col min="8" max="8" width="9.42578125" style="12" bestFit="1" customWidth="1"/>
    <col min="9" max="9" width="9.28515625" style="12" bestFit="1" customWidth="1"/>
    <col min="10" max="16384" width="9.140625" style="12"/>
  </cols>
  <sheetData>
    <row r="1" spans="1:9" ht="17.25" customHeight="1" x14ac:dyDescent="0.2">
      <c r="A1" s="78" t="s">
        <v>69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79" t="s">
        <v>13</v>
      </c>
      <c r="B2" s="79"/>
      <c r="C2" s="79"/>
      <c r="D2" s="79"/>
      <c r="E2" s="79"/>
      <c r="F2" s="79"/>
      <c r="G2" s="79"/>
      <c r="H2" s="79"/>
      <c r="I2" s="79"/>
    </row>
    <row r="3" spans="1:9" ht="85.5" customHeight="1" x14ac:dyDescent="0.2">
      <c r="A3" s="93" t="s">
        <v>183</v>
      </c>
      <c r="B3" s="93"/>
      <c r="C3" s="93"/>
      <c r="D3" s="93"/>
      <c r="E3" s="93"/>
      <c r="F3" s="93"/>
      <c r="G3" s="93"/>
      <c r="H3" s="93"/>
      <c r="I3" s="93"/>
    </row>
    <row r="4" spans="1:9" x14ac:dyDescent="0.2">
      <c r="A4" s="48"/>
      <c r="B4" s="48"/>
      <c r="C4" s="48"/>
      <c r="D4" s="48"/>
      <c r="E4" s="48"/>
      <c r="F4" s="48"/>
      <c r="G4" s="48"/>
      <c r="H4" s="48"/>
      <c r="I4" s="48"/>
    </row>
    <row r="5" spans="1:9" ht="13.5" thickBot="1" x14ac:dyDescent="0.25">
      <c r="A5" s="77" t="s">
        <v>61</v>
      </c>
      <c r="B5" s="77"/>
      <c r="C5" s="77"/>
      <c r="D5" s="77"/>
      <c r="E5" s="77"/>
      <c r="F5" s="77"/>
      <c r="G5" s="77"/>
      <c r="H5" s="77"/>
      <c r="I5" s="79"/>
    </row>
    <row r="6" spans="1:9" ht="39" thickBot="1" x14ac:dyDescent="0.25">
      <c r="A6" s="5" t="s">
        <v>9</v>
      </c>
      <c r="B6" s="5" t="s">
        <v>147</v>
      </c>
      <c r="C6" s="5" t="s">
        <v>70</v>
      </c>
      <c r="D6" s="5" t="s">
        <v>71</v>
      </c>
      <c r="E6" s="5" t="s">
        <v>179</v>
      </c>
      <c r="F6" s="5" t="s">
        <v>180</v>
      </c>
      <c r="G6" s="5" t="s">
        <v>181</v>
      </c>
      <c r="H6" s="5" t="s">
        <v>182</v>
      </c>
      <c r="I6" s="39"/>
    </row>
    <row r="7" spans="1:9" ht="13.5" customHeight="1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0"/>
    </row>
    <row r="8" spans="1:9" ht="13.5" thickBot="1" x14ac:dyDescent="0.25">
      <c r="A8" s="7">
        <f>'Работа 1'!A8</f>
        <v>6</v>
      </c>
      <c r="B8" s="7">
        <f>'Работа 1'!B8</f>
        <v>1220</v>
      </c>
      <c r="C8" s="7">
        <v>12</v>
      </c>
      <c r="D8" s="41">
        <v>2.1</v>
      </c>
      <c r="E8" s="41">
        <v>1</v>
      </c>
      <c r="F8" s="41">
        <v>2.2000000000000002</v>
      </c>
      <c r="G8" s="41">
        <v>4.5</v>
      </c>
      <c r="H8" s="41">
        <v>2.5</v>
      </c>
      <c r="I8" s="42"/>
    </row>
    <row r="9" spans="1:9" x14ac:dyDescent="0.2">
      <c r="I9" s="43"/>
    </row>
    <row r="10" spans="1:9" x14ac:dyDescent="0.2">
      <c r="A10" s="79" t="s">
        <v>14</v>
      </c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25" t="s">
        <v>184</v>
      </c>
      <c r="B11" s="23">
        <f>0.164*E8/F8</f>
        <v>7.454545454545454E-2</v>
      </c>
      <c r="C11" s="25"/>
      <c r="D11" s="25" t="s">
        <v>185</v>
      </c>
      <c r="E11" s="24">
        <f>0.164*(E8+D8)/F8</f>
        <v>0.2310909090909091</v>
      </c>
      <c r="G11" s="10"/>
      <c r="H11" s="10"/>
      <c r="I11" s="10"/>
    </row>
    <row r="12" spans="1:9" x14ac:dyDescent="0.2">
      <c r="B12" s="18"/>
      <c r="E12" s="26"/>
      <c r="G12" s="10"/>
      <c r="H12" s="10"/>
      <c r="I12" s="10"/>
    </row>
    <row r="13" spans="1:9" x14ac:dyDescent="0.2">
      <c r="A13" s="12" t="s">
        <v>171</v>
      </c>
      <c r="H13" s="10"/>
      <c r="I13" s="10"/>
    </row>
    <row r="14" spans="1:9" ht="14.25" x14ac:dyDescent="0.2">
      <c r="A14" s="25" t="s">
        <v>172</v>
      </c>
      <c r="B14" s="25"/>
      <c r="C14" s="25"/>
      <c r="F14" s="13" t="s">
        <v>186</v>
      </c>
      <c r="G14" s="23">
        <v>15</v>
      </c>
      <c r="H14" s="10"/>
      <c r="I14" s="10"/>
    </row>
    <row r="15" spans="1:9" ht="14.25" x14ac:dyDescent="0.2">
      <c r="F15" s="13" t="s">
        <v>187</v>
      </c>
      <c r="G15" s="13">
        <v>18</v>
      </c>
      <c r="H15" s="10"/>
      <c r="I15" s="10"/>
    </row>
    <row r="16" spans="1:9" x14ac:dyDescent="0.2">
      <c r="F16" s="13"/>
      <c r="G16" s="13"/>
      <c r="H16" s="10"/>
      <c r="I16" s="10"/>
    </row>
    <row r="17" spans="1:9" ht="14.25" x14ac:dyDescent="0.2">
      <c r="A17" s="25" t="s">
        <v>173</v>
      </c>
      <c r="D17" s="13"/>
      <c r="E17" s="15"/>
      <c r="F17" s="13" t="s">
        <v>188</v>
      </c>
      <c r="G17" s="13">
        <v>16</v>
      </c>
      <c r="H17" s="10"/>
      <c r="I17" s="10"/>
    </row>
    <row r="18" spans="1:9" ht="14.25" x14ac:dyDescent="0.2">
      <c r="F18" s="13" t="s">
        <v>189</v>
      </c>
      <c r="G18" s="23">
        <v>24.2</v>
      </c>
      <c r="H18" s="10"/>
      <c r="I18" s="10"/>
    </row>
    <row r="19" spans="1:9" x14ac:dyDescent="0.2">
      <c r="F19" s="13"/>
      <c r="G19" s="23"/>
      <c r="H19" s="10"/>
      <c r="I19" s="10"/>
    </row>
    <row r="20" spans="1:9" ht="14.25" x14ac:dyDescent="0.2">
      <c r="A20" s="25" t="s">
        <v>74</v>
      </c>
      <c r="B20" s="13"/>
      <c r="C20" s="13"/>
      <c r="D20" s="25"/>
      <c r="E20" s="25"/>
      <c r="F20" s="13" t="s">
        <v>75</v>
      </c>
      <c r="G20" s="44">
        <f>PI()*((B8/1000)^4-((B8-2*C8)/1000)^4)/64</f>
        <v>8.3077761979189826E-3</v>
      </c>
      <c r="H20" s="13" t="s">
        <v>190</v>
      </c>
    </row>
    <row r="21" spans="1:9" x14ac:dyDescent="0.2">
      <c r="B21" s="15"/>
      <c r="C21" s="15"/>
      <c r="F21" s="13"/>
      <c r="G21" s="45"/>
      <c r="H21" s="15"/>
    </row>
    <row r="22" spans="1:9" x14ac:dyDescent="0.2">
      <c r="A22" s="12" t="s">
        <v>77</v>
      </c>
      <c r="F22" s="15" t="s">
        <v>48</v>
      </c>
      <c r="G22" s="15">
        <v>1.1000000000000001</v>
      </c>
      <c r="I22" s="10"/>
    </row>
    <row r="23" spans="1:9" x14ac:dyDescent="0.2">
      <c r="I23" s="10"/>
    </row>
    <row r="24" spans="1:9" ht="14.25" x14ac:dyDescent="0.2">
      <c r="A24" s="25" t="s">
        <v>76</v>
      </c>
      <c r="B24" s="13"/>
      <c r="C24" s="13"/>
      <c r="D24" s="25"/>
      <c r="E24" s="25"/>
      <c r="F24" s="13" t="s">
        <v>191</v>
      </c>
      <c r="G24" s="23">
        <f>G22*78500*PI()*((B8/1000)^2-((B8-2*C8)/1000)^2)/4</f>
        <v>3932.4245156408924</v>
      </c>
      <c r="H24" s="13" t="s">
        <v>33</v>
      </c>
      <c r="I24" s="10"/>
    </row>
    <row r="25" spans="1:9" x14ac:dyDescent="0.2">
      <c r="B25" s="15"/>
      <c r="C25" s="15"/>
      <c r="F25" s="13"/>
      <c r="G25" s="18"/>
      <c r="H25" s="15"/>
      <c r="I25" s="10"/>
    </row>
    <row r="26" spans="1:9" x14ac:dyDescent="0.2">
      <c r="A26" s="84" t="s">
        <v>140</v>
      </c>
      <c r="B26" s="84"/>
      <c r="C26" s="84"/>
      <c r="D26" s="84"/>
      <c r="E26" s="84"/>
      <c r="F26" s="84"/>
      <c r="G26" s="9"/>
      <c r="H26" s="9"/>
      <c r="I26" s="10"/>
    </row>
    <row r="27" spans="1:9" ht="14.25" x14ac:dyDescent="0.2">
      <c r="A27" s="4"/>
      <c r="B27" s="84" t="s">
        <v>62</v>
      </c>
      <c r="C27" s="84"/>
      <c r="D27" s="84"/>
      <c r="E27" s="84"/>
      <c r="F27" s="15" t="s">
        <v>50</v>
      </c>
      <c r="G27" s="14">
        <f>2.05*10^5</f>
        <v>204999.99999999997</v>
      </c>
      <c r="H27" s="15" t="s">
        <v>21</v>
      </c>
    </row>
    <row r="28" spans="1:9" ht="14.25" x14ac:dyDescent="0.2">
      <c r="A28" s="4"/>
      <c r="B28" s="38"/>
      <c r="C28" s="38"/>
      <c r="D28" s="38"/>
      <c r="E28" s="38"/>
      <c r="F28" s="15"/>
      <c r="G28" s="14"/>
      <c r="H28" s="15"/>
    </row>
    <row r="29" spans="1:9" x14ac:dyDescent="0.2">
      <c r="A29" s="95" t="s">
        <v>78</v>
      </c>
      <c r="B29" s="95"/>
      <c r="C29" s="95"/>
      <c r="D29" s="95"/>
      <c r="E29" s="95"/>
      <c r="F29" s="13" t="s">
        <v>79</v>
      </c>
      <c r="G29" s="23">
        <f>0.246*SQRT(G27*10^6*G20*D8/G24)</f>
        <v>234.60317311084432</v>
      </c>
      <c r="H29" s="13" t="s">
        <v>34</v>
      </c>
    </row>
    <row r="30" spans="1:9" x14ac:dyDescent="0.2">
      <c r="A30" s="46"/>
      <c r="B30" s="46"/>
      <c r="C30" s="46"/>
      <c r="D30" s="46"/>
      <c r="E30" s="46"/>
      <c r="F30" s="13"/>
      <c r="G30" s="23"/>
      <c r="H30" s="13"/>
    </row>
    <row r="31" spans="1:9" ht="14.25" x14ac:dyDescent="0.2">
      <c r="A31" s="25" t="s">
        <v>174</v>
      </c>
      <c r="B31" s="25"/>
      <c r="C31" s="25"/>
      <c r="D31" s="25"/>
      <c r="E31" s="25"/>
      <c r="F31" s="13" t="s">
        <v>192</v>
      </c>
      <c r="G31" s="23">
        <f>0.246*(G14-1)*(G27*10^6*G20*D8/G24)^(1/4)</f>
        <v>106.35613096908175</v>
      </c>
      <c r="H31" s="13" t="s">
        <v>34</v>
      </c>
    </row>
    <row r="32" spans="1:9" ht="14.25" x14ac:dyDescent="0.2">
      <c r="A32" s="25"/>
      <c r="B32" s="25"/>
      <c r="C32" s="25"/>
      <c r="D32" s="25"/>
      <c r="E32" s="25"/>
      <c r="F32" s="13" t="s">
        <v>193</v>
      </c>
      <c r="G32" s="23">
        <f>0.246*(G15-G14)*(G27*10^6*G20*D8/G24)^(1/4)</f>
        <v>22.790599493374661</v>
      </c>
      <c r="H32" s="13" t="s">
        <v>34</v>
      </c>
    </row>
    <row r="33" spans="1:10" x14ac:dyDescent="0.2">
      <c r="A33" s="25"/>
      <c r="B33" s="25"/>
      <c r="C33" s="25"/>
      <c r="D33" s="25"/>
      <c r="E33" s="25"/>
      <c r="F33" s="13"/>
      <c r="G33" s="23"/>
      <c r="H33" s="13"/>
    </row>
    <row r="34" spans="1:10" ht="14.25" x14ac:dyDescent="0.2">
      <c r="A34" s="91" t="s">
        <v>175</v>
      </c>
      <c r="B34" s="91"/>
      <c r="C34" s="91"/>
      <c r="D34" s="91"/>
      <c r="E34" s="91"/>
      <c r="F34" s="13" t="s">
        <v>192</v>
      </c>
      <c r="G34" s="23">
        <f>0.246*(G17-1)*(G27*10^6*G20*D8/G24)^(1/4)</f>
        <v>113.9529974668733</v>
      </c>
      <c r="H34" s="13" t="s">
        <v>34</v>
      </c>
    </row>
    <row r="35" spans="1:10" ht="14.25" x14ac:dyDescent="0.2">
      <c r="A35" s="25"/>
      <c r="B35" s="25"/>
      <c r="C35" s="25"/>
      <c r="D35" s="25"/>
      <c r="E35" s="25"/>
      <c r="F35" s="13" t="s">
        <v>193</v>
      </c>
      <c r="G35" s="23">
        <f>0.246*(G18-G17)*(G27*10^6*G20*D8/G24)^(1/4)</f>
        <v>62.294305281890736</v>
      </c>
      <c r="H35" s="13" t="s">
        <v>34</v>
      </c>
    </row>
    <row r="36" spans="1:10" x14ac:dyDescent="0.2">
      <c r="A36" s="25"/>
      <c r="B36" s="25"/>
      <c r="C36" s="25"/>
      <c r="D36" s="25"/>
      <c r="E36" s="25"/>
      <c r="F36" s="13"/>
      <c r="G36" s="23"/>
      <c r="H36" s="13"/>
    </row>
    <row r="37" spans="1:10" ht="14.25" x14ac:dyDescent="0.2">
      <c r="A37" s="91" t="s">
        <v>176</v>
      </c>
      <c r="B37" s="91"/>
      <c r="C37" s="91"/>
      <c r="D37" s="91"/>
      <c r="E37" s="91"/>
      <c r="F37" s="13" t="s">
        <v>194</v>
      </c>
      <c r="G37" s="23">
        <f>G24*(0.12*SQRT(G27*10^6*G20*E8/G24)+G32/2)+G8*9.81*10^3</f>
        <v>399505.60889517481</v>
      </c>
      <c r="H37" s="13" t="s">
        <v>38</v>
      </c>
      <c r="I37" s="23">
        <f>G37*0.0001003611353125</f>
        <v>40.094836472431339</v>
      </c>
      <c r="J37" s="13" t="s">
        <v>80</v>
      </c>
    </row>
    <row r="38" spans="1:10" ht="15" x14ac:dyDescent="0.2">
      <c r="A38" s="25"/>
      <c r="B38" s="25"/>
      <c r="C38" s="25"/>
      <c r="D38" s="25"/>
      <c r="E38" s="25"/>
      <c r="F38" s="13" t="s">
        <v>195</v>
      </c>
      <c r="G38" s="23">
        <f>G24*(G31+G32)/2</f>
        <v>253929.88449271503</v>
      </c>
      <c r="H38" s="13" t="s">
        <v>38</v>
      </c>
      <c r="I38" s="23">
        <f t="shared" ref="I38:I39" si="0">G38*0.0001003611353125</f>
        <v>25.484691497460869</v>
      </c>
      <c r="J38" s="13" t="s">
        <v>80</v>
      </c>
    </row>
    <row r="39" spans="1:10" ht="15" x14ac:dyDescent="0.2">
      <c r="A39" s="25"/>
      <c r="B39" s="25"/>
      <c r="C39" s="25"/>
      <c r="D39" s="25"/>
      <c r="E39" s="25"/>
      <c r="F39" s="13" t="s">
        <v>196</v>
      </c>
      <c r="G39" s="23">
        <f>G24*(0.164*SQRT(G27*10^6*G20*F8/G24)+G31/2)+H8*9.81*10^3</f>
        <v>863156.73950892908</v>
      </c>
      <c r="H39" s="13" t="s">
        <v>38</v>
      </c>
      <c r="I39" s="23">
        <f t="shared" si="0"/>
        <v>86.627390329751947</v>
      </c>
      <c r="J39" s="13" t="s">
        <v>80</v>
      </c>
    </row>
    <row r="40" spans="1:10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4.25" x14ac:dyDescent="0.2">
      <c r="A41" s="91" t="s">
        <v>177</v>
      </c>
      <c r="B41" s="91"/>
      <c r="C41" s="91"/>
      <c r="D41" s="91"/>
      <c r="E41" s="91"/>
      <c r="F41" s="13" t="s">
        <v>194</v>
      </c>
      <c r="G41" s="23">
        <f>G24*(0.12*SQRT(G27*10^6*G20*E8/G24)+G35/2)+G8*9.81*10^3</f>
        <v>477178.27944588766</v>
      </c>
      <c r="H41" s="13" t="s">
        <v>38</v>
      </c>
      <c r="I41" s="23">
        <f>G41*0.0001003611353125</f>
        <v>47.890153871654668</v>
      </c>
      <c r="J41" s="13" t="s">
        <v>80</v>
      </c>
    </row>
    <row r="42" spans="1:10" ht="15" x14ac:dyDescent="0.2">
      <c r="A42" s="25"/>
      <c r="B42" s="25"/>
      <c r="C42" s="25"/>
      <c r="D42" s="25"/>
      <c r="E42" s="25"/>
      <c r="F42" s="13" t="s">
        <v>195</v>
      </c>
      <c r="G42" s="23">
        <f>G24*(G34+G35)/2</f>
        <v>346539.60707241111</v>
      </c>
      <c r="H42" s="13" t="s">
        <v>38</v>
      </c>
      <c r="I42" s="23">
        <f t="shared" ref="I42:I43" si="1">G42*0.0001003611353125</f>
        <v>34.779108396534831</v>
      </c>
      <c r="J42" s="13" t="s">
        <v>80</v>
      </c>
    </row>
    <row r="43" spans="1:10" ht="15" x14ac:dyDescent="0.2">
      <c r="A43" s="25"/>
      <c r="B43" s="25"/>
      <c r="C43" s="25"/>
      <c r="D43" s="25"/>
      <c r="E43" s="25"/>
      <c r="F43" s="13" t="s">
        <v>196</v>
      </c>
      <c r="G43" s="23">
        <f>G24*(0.164*SQRT(G27*10^6*G20*F8/G24)+G34/2)+H8*9.81*10^3</f>
        <v>878093.79153791233</v>
      </c>
      <c r="H43" s="13" t="s">
        <v>38</v>
      </c>
      <c r="I43" s="23">
        <f t="shared" si="1"/>
        <v>88.12648982960259</v>
      </c>
      <c r="J43" s="13" t="s">
        <v>80</v>
      </c>
    </row>
    <row r="44" spans="1:10" x14ac:dyDescent="0.2">
      <c r="F44" s="25"/>
    </row>
    <row r="45" spans="1:10" x14ac:dyDescent="0.2">
      <c r="A45" s="25" t="s">
        <v>81</v>
      </c>
      <c r="C45" s="15" t="str">
        <f>IF(SUM(G37:G39)&gt;SUM(G41:G43),"первый","второй")</f>
        <v>второй</v>
      </c>
    </row>
    <row r="46" spans="1:10" x14ac:dyDescent="0.2">
      <c r="B46" s="18"/>
      <c r="C46" s="15"/>
    </row>
    <row r="47" spans="1:10" x14ac:dyDescent="0.2">
      <c r="A47" s="90" t="s">
        <v>82</v>
      </c>
      <c r="B47" s="90"/>
      <c r="C47" s="90"/>
      <c r="D47" s="90"/>
      <c r="E47" s="90"/>
      <c r="F47" s="13" t="s">
        <v>83</v>
      </c>
      <c r="G47" s="23">
        <f>0.809*SQRT(G27*10^6*D8*78500)/10^6</f>
        <v>148.72018872449698</v>
      </c>
      <c r="H47" s="13" t="s">
        <v>21</v>
      </c>
    </row>
    <row r="49" spans="1:9" x14ac:dyDescent="0.2">
      <c r="A49" s="84" t="s">
        <v>142</v>
      </c>
      <c r="B49" s="84"/>
      <c r="C49" s="84"/>
      <c r="D49" s="84"/>
      <c r="E49" s="84"/>
      <c r="F49" s="15" t="s">
        <v>49</v>
      </c>
      <c r="G49" s="15">
        <f>'Работа 2'!H30</f>
        <v>0.6</v>
      </c>
    </row>
    <row r="50" spans="1:9" ht="15.75" x14ac:dyDescent="0.2">
      <c r="A50" s="84" t="s">
        <v>143</v>
      </c>
      <c r="B50" s="84"/>
      <c r="C50" s="84"/>
      <c r="D50" s="84"/>
      <c r="E50" s="84"/>
      <c r="F50" s="15" t="s">
        <v>168</v>
      </c>
      <c r="G50" s="18">
        <f>'Работа 2'!H31</f>
        <v>1.05</v>
      </c>
    </row>
    <row r="51" spans="1:9" ht="15.75" x14ac:dyDescent="0.2">
      <c r="A51" s="84" t="s">
        <v>178</v>
      </c>
      <c r="B51" s="84"/>
      <c r="C51" s="84"/>
      <c r="D51" s="84"/>
      <c r="E51" s="84"/>
      <c r="F51" s="15" t="s">
        <v>197</v>
      </c>
      <c r="G51" s="15">
        <v>1.1499999999999999</v>
      </c>
    </row>
    <row r="52" spans="1:9" ht="15.75" x14ac:dyDescent="0.2">
      <c r="A52" s="84" t="s">
        <v>63</v>
      </c>
      <c r="B52" s="84"/>
      <c r="C52" s="84"/>
      <c r="D52" s="84"/>
      <c r="E52" s="84"/>
      <c r="F52" s="15" t="s">
        <v>167</v>
      </c>
      <c r="G52" s="15">
        <f>'Работа 2'!H29</f>
        <v>380</v>
      </c>
      <c r="H52" s="15" t="s">
        <v>21</v>
      </c>
    </row>
    <row r="53" spans="1:9" x14ac:dyDescent="0.2">
      <c r="C53" s="13"/>
      <c r="D53" s="15"/>
      <c r="G53" s="13"/>
      <c r="H53" s="15"/>
    </row>
    <row r="54" spans="1:9" ht="14.25" x14ac:dyDescent="0.2">
      <c r="A54" s="91" t="s">
        <v>84</v>
      </c>
      <c r="B54" s="91"/>
      <c r="C54" s="91"/>
      <c r="D54" s="91"/>
      <c r="E54" s="91"/>
      <c r="F54" s="13" t="s">
        <v>198</v>
      </c>
      <c r="G54" s="37">
        <f>G49*G52/(G50*G51)</f>
        <v>188.81987577639751</v>
      </c>
      <c r="H54" s="13" t="s">
        <v>21</v>
      </c>
      <c r="I54" s="47"/>
    </row>
    <row r="56" spans="1:9" x14ac:dyDescent="0.2">
      <c r="A56" s="25" t="s">
        <v>85</v>
      </c>
    </row>
    <row r="57" spans="1:9" ht="30" customHeight="1" x14ac:dyDescent="0.2">
      <c r="A57" s="18">
        <f>G47</f>
        <v>148.72018872449698</v>
      </c>
      <c r="B57" s="15" t="s">
        <v>21</v>
      </c>
      <c r="C57" s="15" t="str">
        <f>IF(A57&lt;D57,"&lt;","&gt;")</f>
        <v>&lt;</v>
      </c>
      <c r="D57" s="18">
        <f>G54</f>
        <v>188.81987577639751</v>
      </c>
      <c r="E57" s="15" t="s">
        <v>21</v>
      </c>
      <c r="F57" s="81" t="str">
        <f>IF(C57="&lt;"," - проверка выполняется, изломов трубы не произойдет"," - проверка не выполняется")</f>
        <v xml:space="preserve"> - проверка выполняется, изломов трубы не произойдет</v>
      </c>
      <c r="G57" s="81"/>
      <c r="H57" s="81"/>
      <c r="I57" s="81"/>
    </row>
  </sheetData>
  <mergeCells count="18">
    <mergeCell ref="A26:F26"/>
    <mergeCell ref="A50:E50"/>
    <mergeCell ref="A49:E49"/>
    <mergeCell ref="A51:E51"/>
    <mergeCell ref="A52:E52"/>
    <mergeCell ref="B27:E27"/>
    <mergeCell ref="A29:E29"/>
    <mergeCell ref="A37:E37"/>
    <mergeCell ref="A1:I1"/>
    <mergeCell ref="A5:I5"/>
    <mergeCell ref="A2:I2"/>
    <mergeCell ref="A3:I3"/>
    <mergeCell ref="A10:I10"/>
    <mergeCell ref="A34:E34"/>
    <mergeCell ref="A41:E41"/>
    <mergeCell ref="A47:E47"/>
    <mergeCell ref="A54:E54"/>
    <mergeCell ref="F57:I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115" zoomScaleNormal="115" workbookViewId="0">
      <selection activeCell="I25" sqref="I25"/>
    </sheetView>
  </sheetViews>
  <sheetFormatPr defaultRowHeight="12.75" x14ac:dyDescent="0.2"/>
  <cols>
    <col min="1" max="1" width="16.5703125" style="12" customWidth="1"/>
    <col min="2" max="2" width="11.140625" style="12" customWidth="1"/>
    <col min="3" max="3" width="10.28515625" style="12" customWidth="1"/>
    <col min="4" max="4" width="10.42578125" style="12" bestFit="1" customWidth="1"/>
    <col min="5" max="5" width="9.28515625" style="12" bestFit="1" customWidth="1"/>
    <col min="6" max="6" width="9.140625" style="12" customWidth="1"/>
    <col min="7" max="8" width="9.28515625" style="12" bestFit="1" customWidth="1"/>
    <col min="9" max="9" width="9.140625" style="12"/>
    <col min="10" max="10" width="10.42578125" style="12" bestFit="1" customWidth="1"/>
    <col min="11" max="16384" width="9.140625" style="12"/>
  </cols>
  <sheetData>
    <row r="1" spans="1:9" ht="17.25" customHeight="1" x14ac:dyDescent="0.2">
      <c r="A1" s="78" t="s">
        <v>69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79" t="s">
        <v>13</v>
      </c>
      <c r="B2" s="79"/>
      <c r="C2" s="79"/>
      <c r="D2" s="79"/>
      <c r="E2" s="79"/>
      <c r="F2" s="79"/>
      <c r="G2" s="79"/>
      <c r="H2" s="79"/>
      <c r="I2" s="79"/>
    </row>
    <row r="3" spans="1:9" ht="39.75" customHeight="1" x14ac:dyDescent="0.2">
      <c r="A3" s="93" t="s">
        <v>200</v>
      </c>
      <c r="B3" s="93"/>
      <c r="C3" s="93"/>
      <c r="D3" s="93"/>
      <c r="E3" s="93"/>
      <c r="F3" s="93"/>
      <c r="G3" s="93"/>
      <c r="H3" s="93"/>
      <c r="I3" s="93"/>
    </row>
    <row r="4" spans="1:9" x14ac:dyDescent="0.2">
      <c r="A4" s="48"/>
      <c r="B4" s="48"/>
      <c r="C4" s="48"/>
      <c r="D4" s="48"/>
      <c r="E4" s="48"/>
      <c r="F4" s="48"/>
      <c r="G4" s="48"/>
      <c r="H4" s="48"/>
      <c r="I4" s="48"/>
    </row>
    <row r="5" spans="1:9" ht="13.5" thickBot="1" x14ac:dyDescent="0.25">
      <c r="A5" s="77" t="s">
        <v>61</v>
      </c>
      <c r="B5" s="77"/>
      <c r="C5" s="77"/>
      <c r="D5" s="77"/>
      <c r="E5" s="77"/>
      <c r="F5" s="77"/>
      <c r="G5" s="77"/>
      <c r="H5" s="77"/>
      <c r="I5" s="79"/>
    </row>
    <row r="6" spans="1:9" ht="26.25" thickBot="1" x14ac:dyDescent="0.25">
      <c r="A6" s="5" t="s">
        <v>9</v>
      </c>
      <c r="B6" s="5" t="s">
        <v>147</v>
      </c>
      <c r="C6" s="5" t="s">
        <v>1</v>
      </c>
      <c r="D6" s="5" t="s">
        <v>148</v>
      </c>
      <c r="E6" s="5" t="s">
        <v>149</v>
      </c>
      <c r="F6" s="5" t="s">
        <v>150</v>
      </c>
      <c r="G6" s="5" t="s">
        <v>7</v>
      </c>
      <c r="H6" s="5" t="s">
        <v>8</v>
      </c>
      <c r="I6" s="5" t="s">
        <v>151</v>
      </c>
    </row>
    <row r="7" spans="1:9" ht="13.5" customHeight="1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3.5" thickBot="1" x14ac:dyDescent="0.25">
      <c r="A8" s="7">
        <f>'Работа 1'!A8</f>
        <v>6</v>
      </c>
      <c r="B8" s="7">
        <f>'Работа 1'!B8</f>
        <v>1220</v>
      </c>
      <c r="C8" s="7" t="str">
        <f>'Работа 1'!C8</f>
        <v>В</v>
      </c>
      <c r="D8" s="7">
        <f>'Работа 1'!D8</f>
        <v>870</v>
      </c>
      <c r="E8" s="7">
        <f>'Работа 1'!E8</f>
        <v>-37</v>
      </c>
      <c r="F8" s="7">
        <f>'Работа 1'!F8</f>
        <v>12</v>
      </c>
      <c r="G8" s="7">
        <f>'Работа 1'!G8</f>
        <v>4.5</v>
      </c>
      <c r="H8" s="7" t="str">
        <f>'Работа 1'!H8</f>
        <v>12Г2СБ</v>
      </c>
      <c r="I8" s="7">
        <f>'Работа 1'!I8</f>
        <v>1.47</v>
      </c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79" t="s">
        <v>14</v>
      </c>
      <c r="B10" s="79"/>
      <c r="C10" s="79"/>
      <c r="D10" s="79"/>
      <c r="E10" s="79"/>
      <c r="F10" s="79"/>
      <c r="G10" s="79"/>
      <c r="H10" s="79"/>
      <c r="I10" s="79"/>
    </row>
    <row r="11" spans="1:9" ht="18.75" x14ac:dyDescent="0.2">
      <c r="A11" s="84" t="s">
        <v>89</v>
      </c>
      <c r="B11" s="84"/>
      <c r="C11" s="84"/>
      <c r="D11" s="84"/>
      <c r="E11" s="15" t="s">
        <v>201</v>
      </c>
      <c r="F11" s="15">
        <v>1100</v>
      </c>
      <c r="G11" s="15" t="s">
        <v>202</v>
      </c>
      <c r="H11" s="10"/>
      <c r="I11" s="10"/>
    </row>
    <row r="12" spans="1:9" ht="29.1" customHeight="1" x14ac:dyDescent="0.2">
      <c r="A12" s="81" t="s">
        <v>88</v>
      </c>
      <c r="B12" s="81"/>
      <c r="C12" s="81"/>
      <c r="D12" s="81"/>
      <c r="E12" s="13" t="s">
        <v>203</v>
      </c>
      <c r="F12" s="23">
        <f>F11*9.81*PI()*(B8/1000)^2/4</f>
        <v>12614.534685490622</v>
      </c>
      <c r="G12" s="13" t="s">
        <v>33</v>
      </c>
      <c r="H12" s="10"/>
      <c r="I12" s="10"/>
    </row>
    <row r="13" spans="1:9" x14ac:dyDescent="0.2">
      <c r="E13" s="13"/>
      <c r="F13" s="18"/>
      <c r="G13" s="15"/>
      <c r="H13" s="10"/>
      <c r="I13" s="10"/>
    </row>
    <row r="14" spans="1:9" s="49" customFormat="1" x14ac:dyDescent="0.2">
      <c r="A14" s="49" t="s">
        <v>87</v>
      </c>
      <c r="C14" s="50"/>
      <c r="D14" s="51"/>
      <c r="E14" s="50" t="s">
        <v>55</v>
      </c>
      <c r="F14" s="52">
        <f>'Работа 1'!H41</f>
        <v>18</v>
      </c>
    </row>
    <row r="15" spans="1:9" s="49" customFormat="1" ht="29.1" customHeight="1" x14ac:dyDescent="0.2">
      <c r="A15" s="81" t="s">
        <v>74</v>
      </c>
      <c r="B15" s="81"/>
      <c r="C15" s="81"/>
      <c r="D15" s="81"/>
      <c r="E15" s="13" t="s">
        <v>75</v>
      </c>
      <c r="F15" s="44">
        <f>PI()*((B8/1000)^4-((B8-2*F14)/1000)^4)/64</f>
        <v>1.227843948818901E-2</v>
      </c>
      <c r="G15" s="13" t="s">
        <v>190</v>
      </c>
    </row>
    <row r="16" spans="1:9" s="49" customFormat="1" x14ac:dyDescent="0.2">
      <c r="A16" s="53"/>
      <c r="B16" s="53"/>
      <c r="C16" s="53"/>
      <c r="D16" s="53"/>
      <c r="E16" s="13"/>
      <c r="F16" s="44"/>
      <c r="G16" s="13"/>
    </row>
    <row r="17" spans="1:9" ht="29.1" customHeight="1" x14ac:dyDescent="0.2">
      <c r="A17" s="88" t="s">
        <v>211</v>
      </c>
      <c r="B17" s="88"/>
      <c r="C17" s="88"/>
      <c r="D17" s="88"/>
      <c r="E17" s="15" t="s">
        <v>48</v>
      </c>
      <c r="F17" s="15">
        <v>0.95</v>
      </c>
      <c r="G17" s="15"/>
    </row>
    <row r="19" spans="1:9" x14ac:dyDescent="0.2">
      <c r="A19" s="85" t="s">
        <v>90</v>
      </c>
      <c r="B19" s="85"/>
      <c r="C19" s="85"/>
      <c r="D19" s="85"/>
      <c r="E19" s="15" t="s">
        <v>91</v>
      </c>
      <c r="F19" s="15">
        <v>0.16500000000000001</v>
      </c>
      <c r="G19" s="15" t="s">
        <v>92</v>
      </c>
    </row>
    <row r="20" spans="1:9" x14ac:dyDescent="0.2">
      <c r="A20" s="85" t="s">
        <v>210</v>
      </c>
      <c r="B20" s="85"/>
      <c r="C20" s="85"/>
      <c r="D20" s="85"/>
      <c r="E20" s="15" t="s">
        <v>50</v>
      </c>
      <c r="F20" s="14">
        <f>2.05*10^5</f>
        <v>204999.99999999997</v>
      </c>
      <c r="G20" s="15" t="s">
        <v>21</v>
      </c>
    </row>
    <row r="21" spans="1:9" x14ac:dyDescent="0.2">
      <c r="A21" s="89" t="s">
        <v>93</v>
      </c>
      <c r="B21" s="89"/>
      <c r="C21" s="89"/>
      <c r="D21" s="89"/>
      <c r="E21" s="96" t="s">
        <v>95</v>
      </c>
      <c r="F21" s="96"/>
      <c r="G21" s="9"/>
      <c r="I21" s="10"/>
    </row>
    <row r="22" spans="1:9" ht="29.1" customHeight="1" x14ac:dyDescent="0.2">
      <c r="A22" s="81" t="s">
        <v>96</v>
      </c>
      <c r="B22" s="81"/>
      <c r="C22" s="81"/>
      <c r="D22" s="81"/>
      <c r="E22" s="13" t="s">
        <v>204</v>
      </c>
      <c r="F22" s="23">
        <f>IF(E21="вогнутый",32*F20*10^6*F15/(9*F19^2*(1000*B8/1000)^3),IF(E21="выпуклый",8*F20*10^6*F15/(9*F19^2*(1000*B8/1000)^3),"ошибка"))</f>
        <v>45.258184900256872</v>
      </c>
      <c r="G22" s="13" t="s">
        <v>33</v>
      </c>
      <c r="I22" s="10"/>
    </row>
    <row r="23" spans="1:9" ht="14.25" x14ac:dyDescent="0.2">
      <c r="A23" s="91" t="s">
        <v>76</v>
      </c>
      <c r="B23" s="91"/>
      <c r="C23" s="91"/>
      <c r="D23" s="91"/>
      <c r="E23" s="13" t="s">
        <v>191</v>
      </c>
      <c r="F23" s="23">
        <f>F17*78500*((B8/1000)^2-((B8-2*F14)/1000)^2)/4</f>
        <v>1613.5047000000034</v>
      </c>
      <c r="G23" s="13" t="s">
        <v>33</v>
      </c>
      <c r="I23" s="10"/>
    </row>
    <row r="24" spans="1:9" x14ac:dyDescent="0.2">
      <c r="A24" s="9"/>
      <c r="B24" s="10"/>
      <c r="C24" s="10"/>
      <c r="D24" s="10"/>
      <c r="E24" s="54"/>
      <c r="F24" s="54"/>
      <c r="G24" s="10"/>
      <c r="I24" s="10"/>
    </row>
    <row r="25" spans="1:9" x14ac:dyDescent="0.2">
      <c r="A25" s="79" t="s">
        <v>101</v>
      </c>
      <c r="B25" s="79"/>
      <c r="C25" s="79"/>
      <c r="D25" s="79"/>
      <c r="E25" s="97" t="s">
        <v>103</v>
      </c>
      <c r="F25" s="97"/>
      <c r="G25" s="10"/>
      <c r="I25" s="10"/>
    </row>
    <row r="26" spans="1:9" x14ac:dyDescent="0.2">
      <c r="A26" s="25"/>
      <c r="B26" s="25"/>
      <c r="C26" s="25"/>
      <c r="D26" s="25"/>
      <c r="E26" s="25"/>
      <c r="F26" s="25"/>
      <c r="G26" s="25"/>
    </row>
    <row r="27" spans="1:9" ht="14.25" x14ac:dyDescent="0.2">
      <c r="A27" s="82" t="s">
        <v>97</v>
      </c>
      <c r="B27" s="82"/>
      <c r="C27" s="82"/>
      <c r="D27" s="82"/>
      <c r="E27" s="13" t="s">
        <v>205</v>
      </c>
      <c r="F27" s="23">
        <f>0</f>
        <v>0</v>
      </c>
      <c r="G27" s="13" t="s">
        <v>33</v>
      </c>
      <c r="H27" s="12" t="s">
        <v>98</v>
      </c>
    </row>
    <row r="28" spans="1:9" x14ac:dyDescent="0.2">
      <c r="A28" s="25"/>
      <c r="B28" s="25"/>
      <c r="C28" s="25"/>
      <c r="D28" s="25"/>
      <c r="E28" s="25"/>
      <c r="F28" s="25"/>
      <c r="G28" s="25"/>
    </row>
    <row r="29" spans="1:9" x14ac:dyDescent="0.2">
      <c r="A29" s="82" t="s">
        <v>99</v>
      </c>
      <c r="B29" s="82"/>
      <c r="C29" s="82"/>
      <c r="D29" s="82"/>
      <c r="E29" s="13" t="s">
        <v>100</v>
      </c>
      <c r="F29" s="23">
        <f>IF(E25="железобетонные",0.9*(1.05*F12+F22-F23-F27),IF(E25="чугунные",1*(1.05*F12+F22-F23-F27)))</f>
        <v>10509.313414198865</v>
      </c>
      <c r="G29" s="13" t="s">
        <v>33</v>
      </c>
    </row>
    <row r="30" spans="1:9" x14ac:dyDescent="0.2">
      <c r="G30" s="13"/>
      <c r="H30" s="18"/>
      <c r="I30" s="15"/>
    </row>
    <row r="31" spans="1:9" ht="13.5" thickBot="1" x14ac:dyDescent="0.25">
      <c r="A31" s="38" t="s">
        <v>199</v>
      </c>
      <c r="B31" s="15"/>
      <c r="C31" s="15"/>
      <c r="G31" s="13"/>
      <c r="I31" s="15"/>
    </row>
    <row r="32" spans="1:9" ht="51.75" thickBot="1" x14ac:dyDescent="0.25">
      <c r="A32" s="55" t="str">
        <f>IF($E$25="железобетонные",Справочное!A24,IF($E$25="чугунные",Справочное!A35))</f>
        <v>Наружный диаметр трубопровода, мм</v>
      </c>
      <c r="B32" s="55" t="str">
        <f>IF($E$25="железобетонные",Справочное!B24,IF($E$25="чугунные",Справочное!B35))</f>
        <v>Масса груза, кг</v>
      </c>
      <c r="C32" s="55" t="str">
        <f>IF($E$25="железобетонные",Справочное!C25,IF($E$25="чугунные",Справочное!C36))</f>
        <v>а</v>
      </c>
      <c r="D32" s="55" t="str">
        <f>IF($E$25="железобетонные",Справочное!D25,IF($E$25="чугунные",Справочное!D36))</f>
        <v>b</v>
      </c>
      <c r="E32" s="55" t="str">
        <f>IF($E$25="железобетонные",Справочное!E25,IF($E$25="чугунные",Справочное!E36))</f>
        <v>с</v>
      </c>
      <c r="F32" s="55" t="str">
        <f>IF($E$25="железобетонные",Справочное!F25,IF($E$25="чугунные",Справочное!F36))</f>
        <v>d</v>
      </c>
      <c r="G32" s="55" t="str">
        <f>IF($E$25="железобетонные",Справочное!G25,IF($E$25="чугунные",Справочное!G36))</f>
        <v>R</v>
      </c>
      <c r="H32" s="55" t="str">
        <f>IF($E$25="железобетонные",Справочное!H25,IF($E$25="чугунные",Справочное!H36))</f>
        <v>D</v>
      </c>
      <c r="I32" s="55" t="str">
        <f>IF($E$25="железобетонные",Справочное!I25,IF($E$25="чугунные",Справочное!I36))</f>
        <v>h</v>
      </c>
    </row>
    <row r="33" spans="1:11" ht="13.5" thickBot="1" x14ac:dyDescent="0.25">
      <c r="A33" s="7">
        <f>IF(E25="железобетонные",VLOOKUP(B8,Справочное!A25:I33,1,FALSE),IF(E25="чугунные",VLOOKUP('Работа 4'!B8,Справочное!A37:I45,1,FALSE)))</f>
        <v>1220</v>
      </c>
      <c r="B33" s="7">
        <f>IF(E25="железобетонные",VLOOKUP(B8,Справочное!A25:I33,2,FALSE),IF(E25="чугунные",VLOOKUP('Работа 4'!B8,Справочное!A37:I45,2,FALSE)))</f>
        <v>4000</v>
      </c>
      <c r="C33" s="7">
        <f>IF(E25="железобетонные",VLOOKUP(B8,Справочное!A25:I33,3,FALSE),IF(E25="чугунные",VLOOKUP('Работа 4'!B8,Справочное!A37:I45,3,FALSE)))</f>
        <v>2000</v>
      </c>
      <c r="D33" s="7">
        <f>IF(E25="железобетонные",VLOOKUP(B8,Справочное!A25:I33,4,FALSE),IF(E25="чугунные",VLOOKUP('Работа 4'!B8,Справочное!A37:I45,4,FALSE)))</f>
        <v>1600</v>
      </c>
      <c r="E33" s="7">
        <f>IF(E25="железобетонные",VLOOKUP(B8,Справочное!A25:I33,5,FALSE),IF(E25="чугунные",VLOOKUP('Работа 4'!B8,Справочное!A37:I45,5,FALSE)))</f>
        <v>1050</v>
      </c>
      <c r="F33" s="7">
        <f>IF(E25="железобетонные",VLOOKUP(B8,Справочное!A25:I33,6,FALSE),IF(E25="чугунные",VLOOKUP('Работа 4'!B8,Справочное!A37:I45,6,FALSE)))</f>
        <v>320</v>
      </c>
      <c r="G33" s="7">
        <f>IF(E25="железобетонные",VLOOKUP(B8,Справочное!A25:I33,7,FALSE),IF(E25="чугунные",VLOOKUP('Работа 4'!B8,Справочное!A37:I45,7,FALSE)))</f>
        <v>580</v>
      </c>
      <c r="H33" s="7">
        <f>IF(E25="железобетонные",VLOOKUP(B8,Справочное!A25:I33,8,FALSE),IF(E25="чугунные",VLOOKUP('Работа 4'!B8,Справочное!A37:I45,8,FALSE)))</f>
        <v>50</v>
      </c>
      <c r="I33" s="7">
        <f>IF(E25="железобетонные",VLOOKUP(B8,Справочное!A25:I33,9,FALSE),IF(E25="чугунные",VLOOKUP('Работа 4'!B8,Справочное!A37:I45,9,FALSE)))</f>
        <v>500</v>
      </c>
      <c r="J33" s="56"/>
    </row>
    <row r="34" spans="1:11" x14ac:dyDescent="0.2">
      <c r="A34" s="13"/>
      <c r="B34" s="15"/>
      <c r="C34" s="15"/>
      <c r="G34" s="13"/>
      <c r="I34" s="15"/>
    </row>
    <row r="35" spans="1:11" ht="14.25" x14ac:dyDescent="0.2">
      <c r="A35" s="91" t="s">
        <v>115</v>
      </c>
      <c r="B35" s="91"/>
      <c r="C35" s="91"/>
      <c r="D35" s="91"/>
      <c r="E35" s="13" t="s">
        <v>206</v>
      </c>
      <c r="F35" s="23">
        <f>B33*9.81</f>
        <v>39240</v>
      </c>
      <c r="G35" s="13" t="s">
        <v>38</v>
      </c>
    </row>
    <row r="36" spans="1:11" x14ac:dyDescent="0.2">
      <c r="A36" s="25"/>
      <c r="B36" s="25"/>
      <c r="C36" s="25"/>
      <c r="D36" s="23"/>
      <c r="E36" s="13"/>
      <c r="F36" s="25"/>
      <c r="G36" s="13"/>
      <c r="H36" s="18"/>
      <c r="I36" s="15"/>
      <c r="J36" s="18"/>
      <c r="K36" s="15"/>
    </row>
    <row r="37" spans="1:11" ht="14.25" x14ac:dyDescent="0.2">
      <c r="A37" s="91" t="s">
        <v>116</v>
      </c>
      <c r="B37" s="91"/>
      <c r="C37" s="91"/>
      <c r="D37" s="91"/>
      <c r="E37" s="13" t="s">
        <v>207</v>
      </c>
      <c r="F37" s="23">
        <f>IF(E25="железобетонные",('Работа 4'!C33/1000*'Работа 4'!D33/1000-('Работа 4'!C33/1000-2*'Работа 4'!F33/1000)*'Работа 4'!I33/1000-PI()*(('Работа 4'!G33/1000)^2)/2)*'Работа 4'!E33/1000,IF(E25="чугунные",PI()*((C33/1000)^2-(D33/1000)^2)*G33/1000))</f>
        <v>2.0911633214495073</v>
      </c>
      <c r="G37" s="13" t="s">
        <v>21</v>
      </c>
    </row>
    <row r="38" spans="1:11" x14ac:dyDescent="0.2">
      <c r="A38" s="57"/>
      <c r="B38" s="57"/>
      <c r="C38" s="57"/>
      <c r="D38" s="57"/>
      <c r="E38" s="57"/>
      <c r="F38" s="57"/>
      <c r="G38" s="57"/>
    </row>
    <row r="39" spans="1:11" ht="14.25" x14ac:dyDescent="0.2">
      <c r="A39" s="91" t="s">
        <v>119</v>
      </c>
      <c r="B39" s="91"/>
      <c r="C39" s="91"/>
      <c r="D39" s="91"/>
      <c r="E39" s="13" t="s">
        <v>208</v>
      </c>
      <c r="F39" s="23">
        <f>F35-F11*F37*9.81</f>
        <v>16674.256598238364</v>
      </c>
      <c r="G39" s="13" t="s">
        <v>38</v>
      </c>
      <c r="H39" s="47"/>
      <c r="I39" s="47"/>
    </row>
    <row r="40" spans="1:11" x14ac:dyDescent="0.2">
      <c r="A40" s="57"/>
      <c r="B40" s="57"/>
      <c r="C40" s="57"/>
      <c r="D40" s="57"/>
      <c r="E40" s="57"/>
      <c r="F40" s="57"/>
      <c r="G40" s="57"/>
    </row>
    <row r="41" spans="1:11" ht="14.25" x14ac:dyDescent="0.2">
      <c r="A41" s="91" t="s">
        <v>120</v>
      </c>
      <c r="B41" s="91"/>
      <c r="C41" s="91"/>
      <c r="D41" s="91"/>
      <c r="E41" s="13" t="s">
        <v>209</v>
      </c>
      <c r="F41" s="23">
        <f>F39/F29</f>
        <v>1.5866171215057876</v>
      </c>
      <c r="G41" s="13" t="s">
        <v>34</v>
      </c>
    </row>
  </sheetData>
  <mergeCells count="23">
    <mergeCell ref="E21:F21"/>
    <mergeCell ref="E25:F25"/>
    <mergeCell ref="A1:I1"/>
    <mergeCell ref="A5:I5"/>
    <mergeCell ref="A2:I2"/>
    <mergeCell ref="A3:I3"/>
    <mergeCell ref="A10:I10"/>
    <mergeCell ref="A11:D11"/>
    <mergeCell ref="A12:D12"/>
    <mergeCell ref="A15:D15"/>
    <mergeCell ref="A22:D22"/>
    <mergeCell ref="A23:D23"/>
    <mergeCell ref="A25:D25"/>
    <mergeCell ref="A27:D27"/>
    <mergeCell ref="A19:D19"/>
    <mergeCell ref="A20:D20"/>
    <mergeCell ref="A21:D21"/>
    <mergeCell ref="A17:D17"/>
    <mergeCell ref="A29:D29"/>
    <mergeCell ref="A35:D35"/>
    <mergeCell ref="A39:D39"/>
    <mergeCell ref="A37:D37"/>
    <mergeCell ref="A41:D41"/>
  </mergeCells>
  <dataValidations count="2">
    <dataValidation type="list" allowBlank="1" showInputMessage="1" showErrorMessage="1" sqref="E21 E24">
      <formula1>УТ</formula1>
    </dataValidation>
    <dataValidation type="list" allowBlank="1" showInputMessage="1" showErrorMessage="1" sqref="E25">
      <formula1>Пригруз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="110" zoomScaleNormal="110" workbookViewId="0">
      <selection activeCell="K31" sqref="K31"/>
    </sheetView>
  </sheetViews>
  <sheetFormatPr defaultRowHeight="12.75" x14ac:dyDescent="0.2"/>
  <cols>
    <col min="1" max="1" width="10" style="58" customWidth="1"/>
    <col min="2" max="2" width="13.42578125" style="58" bestFit="1" customWidth="1"/>
    <col min="3" max="3" width="11.5703125" style="58" customWidth="1"/>
    <col min="4" max="7" width="9.140625" style="58"/>
    <col min="8" max="8" width="10.5703125" style="58" customWidth="1"/>
    <col min="9" max="16384" width="9.140625" style="58"/>
  </cols>
  <sheetData>
    <row r="1" spans="1:9" ht="20.25" customHeight="1" x14ac:dyDescent="0.2">
      <c r="A1" s="100" t="s">
        <v>31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">
      <c r="A2" s="102" t="s">
        <v>13</v>
      </c>
      <c r="B2" s="102"/>
      <c r="C2" s="102"/>
      <c r="D2" s="102"/>
      <c r="E2" s="102"/>
      <c r="F2" s="102"/>
      <c r="G2" s="102"/>
      <c r="H2" s="102"/>
      <c r="I2" s="102"/>
    </row>
    <row r="3" spans="1:9" ht="87.75" customHeight="1" x14ac:dyDescent="0.2">
      <c r="A3" s="103" t="s">
        <v>213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13.5" thickBot="1" x14ac:dyDescent="0.25">
      <c r="A5" s="101" t="s">
        <v>10</v>
      </c>
      <c r="B5" s="101"/>
      <c r="C5" s="101"/>
      <c r="D5" s="101"/>
      <c r="E5" s="101"/>
      <c r="F5" s="101"/>
      <c r="G5" s="101"/>
      <c r="H5" s="101"/>
      <c r="I5" s="101"/>
    </row>
    <row r="6" spans="1:9" ht="26.25" thickBot="1" x14ac:dyDescent="0.25">
      <c r="A6" s="5" t="s">
        <v>9</v>
      </c>
      <c r="B6" s="5" t="s">
        <v>147</v>
      </c>
      <c r="C6" s="5" t="s">
        <v>1</v>
      </c>
      <c r="D6" s="5" t="s">
        <v>148</v>
      </c>
      <c r="E6" s="5" t="s">
        <v>149</v>
      </c>
      <c r="F6" s="5" t="s">
        <v>150</v>
      </c>
      <c r="G6" s="5" t="s">
        <v>7</v>
      </c>
      <c r="H6" s="5" t="s">
        <v>8</v>
      </c>
      <c r="I6" s="5" t="s">
        <v>151</v>
      </c>
    </row>
    <row r="7" spans="1:9" ht="13.5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3.5" thickBot="1" x14ac:dyDescent="0.25">
      <c r="A8" s="6">
        <f>'Работа 4'!A8</f>
        <v>6</v>
      </c>
      <c r="B8" s="6">
        <f>'Работа 4'!B8</f>
        <v>1220</v>
      </c>
      <c r="C8" s="6" t="str">
        <f>'Работа 4'!C8</f>
        <v>В</v>
      </c>
      <c r="D8" s="6">
        <f>'Работа 4'!D8</f>
        <v>870</v>
      </c>
      <c r="E8" s="6">
        <f>'Работа 4'!E8</f>
        <v>-37</v>
      </c>
      <c r="F8" s="6">
        <f>'Работа 4'!F8</f>
        <v>12</v>
      </c>
      <c r="G8" s="6">
        <f>'Работа 4'!G8</f>
        <v>4.5</v>
      </c>
      <c r="H8" s="6" t="str">
        <f>'Работа 4'!H8</f>
        <v>12Г2СБ</v>
      </c>
      <c r="I8" s="6">
        <f>'Работа 4'!I8</f>
        <v>1.47</v>
      </c>
    </row>
    <row r="9" spans="1:9" x14ac:dyDescent="0.2">
      <c r="I9" s="60"/>
    </row>
    <row r="10" spans="1:9" x14ac:dyDescent="0.2">
      <c r="I10" s="60"/>
    </row>
    <row r="11" spans="1:9" x14ac:dyDescent="0.2">
      <c r="A11" s="102" t="s">
        <v>14</v>
      </c>
      <c r="B11" s="102"/>
      <c r="C11" s="102"/>
      <c r="D11" s="102"/>
      <c r="E11" s="102"/>
      <c r="F11" s="102"/>
      <c r="G11" s="102"/>
      <c r="H11" s="102"/>
      <c r="I11" s="102"/>
    </row>
    <row r="12" spans="1:9" x14ac:dyDescent="0.2">
      <c r="A12" s="61" t="s">
        <v>20</v>
      </c>
      <c r="B12" s="62"/>
      <c r="C12" s="62"/>
      <c r="D12" s="94" t="s">
        <v>18</v>
      </c>
      <c r="E12" s="94"/>
      <c r="F12" s="94"/>
      <c r="G12" s="62"/>
      <c r="H12" s="62"/>
      <c r="I12" s="62"/>
    </row>
    <row r="13" spans="1:9" x14ac:dyDescent="0.2">
      <c r="A13" s="61"/>
      <c r="B13" s="62"/>
      <c r="C13" s="62"/>
      <c r="D13" s="63"/>
      <c r="E13" s="63"/>
      <c r="F13" s="63"/>
      <c r="G13" s="62"/>
      <c r="H13" s="62"/>
      <c r="I13" s="62"/>
    </row>
    <row r="14" spans="1:9" x14ac:dyDescent="0.2">
      <c r="A14" s="61"/>
      <c r="B14" s="62"/>
      <c r="C14" s="62"/>
      <c r="D14" s="63"/>
      <c r="E14" s="63"/>
      <c r="F14" s="63"/>
      <c r="G14" s="62"/>
      <c r="H14" s="62"/>
      <c r="I14" s="62"/>
    </row>
    <row r="15" spans="1:9" x14ac:dyDescent="0.2">
      <c r="A15" s="98" t="s">
        <v>32</v>
      </c>
      <c r="B15" s="98"/>
      <c r="C15" s="98"/>
      <c r="D15" s="98"/>
      <c r="E15" s="98"/>
      <c r="F15" s="98"/>
      <c r="G15" s="98"/>
      <c r="H15" s="98"/>
      <c r="I15" s="98"/>
    </row>
    <row r="16" spans="1:9" x14ac:dyDescent="0.2">
      <c r="A16" s="58" t="s">
        <v>121</v>
      </c>
      <c r="G16" s="16" t="s">
        <v>55</v>
      </c>
      <c r="H16" s="21">
        <f>'Работа 1'!H41</f>
        <v>18</v>
      </c>
      <c r="I16" s="16" t="s">
        <v>0</v>
      </c>
    </row>
    <row r="18" spans="1:9" ht="29.1" customHeight="1" x14ac:dyDescent="0.2">
      <c r="A18" s="104" t="s">
        <v>65</v>
      </c>
      <c r="B18" s="104"/>
      <c r="C18" s="104"/>
      <c r="D18" s="104"/>
      <c r="E18" s="104"/>
      <c r="F18" s="104"/>
      <c r="G18" s="64" t="s">
        <v>152</v>
      </c>
      <c r="H18" s="64">
        <f>B8-2*H16</f>
        <v>1184</v>
      </c>
      <c r="I18" s="64" t="s">
        <v>0</v>
      </c>
    </row>
    <row r="19" spans="1:9" x14ac:dyDescent="0.2">
      <c r="A19" s="105" t="s">
        <v>212</v>
      </c>
      <c r="B19" s="105"/>
      <c r="C19" s="105"/>
      <c r="D19" s="105"/>
      <c r="E19" s="105"/>
      <c r="F19" s="105"/>
      <c r="G19" s="64"/>
      <c r="H19" s="64"/>
      <c r="I19" s="64"/>
    </row>
    <row r="20" spans="1:9" ht="15.75" x14ac:dyDescent="0.2">
      <c r="A20" s="65"/>
      <c r="B20" s="85" t="s">
        <v>46</v>
      </c>
      <c r="C20" s="85"/>
      <c r="D20" s="85"/>
      <c r="E20" s="85"/>
      <c r="F20" s="85"/>
      <c r="G20" s="16" t="s">
        <v>166</v>
      </c>
      <c r="H20" s="20">
        <v>550</v>
      </c>
      <c r="I20" s="16" t="s">
        <v>21</v>
      </c>
    </row>
    <row r="21" spans="1:9" ht="15.75" x14ac:dyDescent="0.2">
      <c r="A21" s="65"/>
      <c r="B21" s="85" t="s">
        <v>63</v>
      </c>
      <c r="C21" s="85"/>
      <c r="D21" s="85"/>
      <c r="E21" s="85"/>
      <c r="F21" s="85"/>
      <c r="G21" s="16" t="s">
        <v>167</v>
      </c>
      <c r="H21" s="20">
        <v>380</v>
      </c>
      <c r="I21" s="16" t="s">
        <v>21</v>
      </c>
    </row>
    <row r="22" spans="1:9" x14ac:dyDescent="0.2">
      <c r="A22" s="85" t="s">
        <v>142</v>
      </c>
      <c r="B22" s="85"/>
      <c r="C22" s="85"/>
      <c r="D22" s="85"/>
      <c r="E22" s="85"/>
      <c r="F22" s="85"/>
      <c r="G22" s="16" t="s">
        <v>49</v>
      </c>
      <c r="H22" s="16">
        <f>VLOOKUP(C8,Справочное!A2:B6,2,FALSE)</f>
        <v>0.6</v>
      </c>
      <c r="I22" s="16"/>
    </row>
    <row r="23" spans="1:9" ht="15.75" x14ac:dyDescent="0.2">
      <c r="A23" s="85" t="s">
        <v>143</v>
      </c>
      <c r="B23" s="85"/>
      <c r="C23" s="85"/>
      <c r="D23" s="85"/>
      <c r="E23" s="85"/>
      <c r="F23" s="85"/>
      <c r="G23" s="16" t="s">
        <v>168</v>
      </c>
      <c r="H23" s="21">
        <f>'Работа 1'!H16</f>
        <v>1.05</v>
      </c>
      <c r="I23" s="16"/>
    </row>
    <row r="24" spans="1:9" ht="15.75" x14ac:dyDescent="0.2">
      <c r="A24" s="85" t="s">
        <v>178</v>
      </c>
      <c r="B24" s="85"/>
      <c r="C24" s="85"/>
      <c r="D24" s="85"/>
      <c r="E24" s="85"/>
      <c r="F24" s="85"/>
      <c r="G24" s="16" t="s">
        <v>197</v>
      </c>
      <c r="H24" s="21">
        <v>1.1499999999999999</v>
      </c>
      <c r="I24" s="16"/>
    </row>
    <row r="25" spans="1:9" x14ac:dyDescent="0.2">
      <c r="B25" s="20"/>
      <c r="G25" s="16"/>
      <c r="H25" s="21"/>
      <c r="I25" s="16"/>
    </row>
    <row r="26" spans="1:9" ht="14.25" x14ac:dyDescent="0.25">
      <c r="A26" s="66" t="s">
        <v>84</v>
      </c>
      <c r="B26" s="64"/>
      <c r="C26" s="64"/>
      <c r="D26" s="66"/>
      <c r="E26" s="66"/>
      <c r="F26" s="66"/>
      <c r="G26" s="67" t="s">
        <v>198</v>
      </c>
      <c r="H26" s="68">
        <f>H22*H21/(H24*H23)</f>
        <v>188.81987577639751</v>
      </c>
      <c r="I26" s="64" t="s">
        <v>21</v>
      </c>
    </row>
    <row r="27" spans="1:9" x14ac:dyDescent="0.2">
      <c r="A27" s="66"/>
      <c r="B27" s="64"/>
      <c r="C27" s="64"/>
      <c r="D27" s="66"/>
      <c r="E27" s="66"/>
      <c r="F27" s="66"/>
      <c r="G27" s="67"/>
      <c r="H27" s="68"/>
      <c r="I27" s="64"/>
    </row>
    <row r="28" spans="1:9" ht="14.25" x14ac:dyDescent="0.2">
      <c r="A28" s="66" t="s">
        <v>123</v>
      </c>
      <c r="B28" s="64"/>
      <c r="C28" s="64"/>
      <c r="D28" s="66"/>
      <c r="E28" s="66"/>
      <c r="F28" s="66"/>
      <c r="G28" s="67" t="s">
        <v>122</v>
      </c>
      <c r="H28" s="69">
        <f>PI()*((B8/1000)^3-(H18/1000)^3)/32</f>
        <v>1.5320221619457626E-2</v>
      </c>
      <c r="I28" s="64" t="s">
        <v>214</v>
      </c>
    </row>
    <row r="29" spans="1:9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4.25" x14ac:dyDescent="0.25">
      <c r="A30" s="66" t="s">
        <v>124</v>
      </c>
      <c r="B30" s="64"/>
      <c r="C30" s="64"/>
      <c r="D30" s="66"/>
      <c r="E30" s="66"/>
      <c r="F30" s="66"/>
      <c r="G30" s="67" t="s">
        <v>191</v>
      </c>
      <c r="H30" s="68">
        <f>0.95*78500*PI()*((B8/1000)^2-(H18/1000)^2)/4</f>
        <v>5068.9745120526131</v>
      </c>
      <c r="I30" s="64" t="s">
        <v>33</v>
      </c>
    </row>
    <row r="31" spans="1:9" x14ac:dyDescent="0.2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4.25" x14ac:dyDescent="0.25">
      <c r="A32" s="66" t="s">
        <v>97</v>
      </c>
      <c r="B32" s="66"/>
      <c r="C32" s="66"/>
      <c r="D32" s="66"/>
      <c r="E32" s="66"/>
      <c r="F32" s="66"/>
      <c r="G32" s="67" t="s">
        <v>215</v>
      </c>
      <c r="H32" s="68">
        <f>IF(D12="газопровод",10^(-2)*G8*(B8/10)^2,(0.95*D8*9.81*PI()*(H18/1000)^2)/4)</f>
        <v>8926.9921202488258</v>
      </c>
      <c r="I32" s="64" t="s">
        <v>33</v>
      </c>
    </row>
    <row r="33" spans="1:9" x14ac:dyDescent="0.2">
      <c r="A33" s="66"/>
      <c r="B33" s="66"/>
      <c r="C33" s="66"/>
      <c r="D33" s="66"/>
      <c r="E33" s="66"/>
      <c r="F33" s="66"/>
      <c r="G33" s="66"/>
      <c r="H33" s="66"/>
      <c r="I33" s="66"/>
    </row>
    <row r="34" spans="1:9" ht="14.25" x14ac:dyDescent="0.25">
      <c r="A34" s="66" t="s">
        <v>125</v>
      </c>
      <c r="B34" s="66"/>
      <c r="C34" s="66"/>
      <c r="D34" s="66"/>
      <c r="E34" s="66"/>
      <c r="F34" s="66"/>
      <c r="G34" s="67" t="s">
        <v>216</v>
      </c>
      <c r="H34" s="70">
        <f>H30+H32</f>
        <v>13995.966632301439</v>
      </c>
      <c r="I34" s="64" t="s">
        <v>33</v>
      </c>
    </row>
    <row r="35" spans="1:9" x14ac:dyDescent="0.2">
      <c r="A35" s="66"/>
      <c r="B35" s="64"/>
      <c r="C35" s="64"/>
      <c r="D35" s="66"/>
      <c r="E35" s="66"/>
      <c r="F35" s="66"/>
      <c r="G35" s="67"/>
      <c r="H35" s="68"/>
      <c r="I35" s="64"/>
    </row>
    <row r="36" spans="1:9" x14ac:dyDescent="0.2">
      <c r="A36" s="66" t="s">
        <v>45</v>
      </c>
      <c r="B36" s="66"/>
      <c r="C36" s="66"/>
      <c r="D36" s="66"/>
      <c r="E36" s="64"/>
      <c r="F36" s="66"/>
      <c r="G36" s="64" t="s">
        <v>48</v>
      </c>
      <c r="H36" s="67">
        <v>1.1000000000000001</v>
      </c>
      <c r="I36" s="64"/>
    </row>
    <row r="37" spans="1:9" x14ac:dyDescent="0.2">
      <c r="A37" s="66"/>
      <c r="B37" s="64"/>
      <c r="C37" s="64"/>
      <c r="D37" s="66"/>
      <c r="E37" s="66"/>
      <c r="F37" s="66"/>
      <c r="G37" s="67"/>
      <c r="H37" s="68"/>
      <c r="I37" s="64"/>
    </row>
    <row r="38" spans="1:9" ht="14.25" x14ac:dyDescent="0.25">
      <c r="A38" s="66" t="s">
        <v>126</v>
      </c>
      <c r="B38" s="66"/>
      <c r="C38" s="66"/>
      <c r="D38" s="66"/>
      <c r="E38" s="66"/>
      <c r="F38" s="66"/>
      <c r="G38" s="67" t="s">
        <v>154</v>
      </c>
      <c r="H38" s="68">
        <f>H36*G8*H18/(2*H16)</f>
        <v>162.80000000000001</v>
      </c>
      <c r="I38" s="64" t="s">
        <v>21</v>
      </c>
    </row>
    <row r="39" spans="1:9" x14ac:dyDescent="0.2">
      <c r="A39" s="66"/>
      <c r="B39" s="66"/>
      <c r="C39" s="66"/>
      <c r="D39" s="66"/>
      <c r="E39" s="66"/>
      <c r="F39" s="66"/>
      <c r="G39" s="66"/>
      <c r="H39" s="66"/>
      <c r="I39" s="66"/>
    </row>
    <row r="40" spans="1:9" ht="14.25" x14ac:dyDescent="0.2">
      <c r="A40" s="66" t="s">
        <v>127</v>
      </c>
      <c r="B40" s="68"/>
      <c r="C40" s="64"/>
      <c r="D40" s="66"/>
      <c r="E40" s="66"/>
      <c r="F40" s="66"/>
      <c r="G40" s="64" t="s">
        <v>217</v>
      </c>
      <c r="H40" s="68">
        <f>SQRT(12*(H26*10^6-H38*10^6/2)*H28/H34)</f>
        <v>37.563324375584045</v>
      </c>
      <c r="I40" s="64" t="s">
        <v>34</v>
      </c>
    </row>
    <row r="41" spans="1:9" x14ac:dyDescent="0.2">
      <c r="B41" s="21"/>
      <c r="C41" s="16"/>
      <c r="G41" s="64"/>
      <c r="H41" s="21"/>
      <c r="I41" s="16"/>
    </row>
    <row r="43" spans="1:9" x14ac:dyDescent="0.2">
      <c r="A43" s="99" t="s">
        <v>35</v>
      </c>
      <c r="B43" s="99"/>
      <c r="C43" s="99"/>
      <c r="D43" s="99"/>
      <c r="E43" s="99"/>
      <c r="F43" s="99"/>
      <c r="G43" s="99"/>
      <c r="H43" s="99"/>
      <c r="I43" s="99"/>
    </row>
    <row r="44" spans="1:9" x14ac:dyDescent="0.2">
      <c r="A44" s="58" t="s">
        <v>22</v>
      </c>
      <c r="G44" s="15" t="s">
        <v>50</v>
      </c>
      <c r="H44" s="71">
        <f>2.05*10^5</f>
        <v>204999.99999999997</v>
      </c>
      <c r="I44" s="16" t="s">
        <v>21</v>
      </c>
    </row>
    <row r="45" spans="1:9" x14ac:dyDescent="0.2">
      <c r="A45" s="58" t="s">
        <v>23</v>
      </c>
      <c r="G45" s="15" t="s">
        <v>52</v>
      </c>
      <c r="H45" s="71">
        <f>1.2*10^(-5)</f>
        <v>1.2E-5</v>
      </c>
      <c r="I45" s="16" t="s">
        <v>24</v>
      </c>
    </row>
    <row r="46" spans="1:9" x14ac:dyDescent="0.2">
      <c r="A46" s="58" t="s">
        <v>25</v>
      </c>
      <c r="G46" s="15" t="s">
        <v>54</v>
      </c>
      <c r="H46" s="16">
        <v>0.3</v>
      </c>
    </row>
    <row r="48" spans="1:9" ht="14.25" x14ac:dyDescent="0.2">
      <c r="A48" s="66" t="s">
        <v>128</v>
      </c>
      <c r="B48" s="66"/>
      <c r="C48" s="66"/>
      <c r="D48" s="66"/>
      <c r="E48" s="99" t="s">
        <v>36</v>
      </c>
      <c r="F48" s="99"/>
      <c r="G48" s="64" t="s">
        <v>218</v>
      </c>
      <c r="H48" s="68">
        <f>IF(E48="однопролетный",0.6*H40,0.7*H40)</f>
        <v>22.537994625350425</v>
      </c>
      <c r="I48" s="64" t="s">
        <v>34</v>
      </c>
    </row>
    <row r="50" spans="1:11" ht="14.25" x14ac:dyDescent="0.2">
      <c r="A50" s="58" t="s">
        <v>74</v>
      </c>
      <c r="G50" s="64" t="s">
        <v>75</v>
      </c>
      <c r="H50" s="71">
        <f>PI()*((B8/1000)^4-(H18/1000)^4)/64</f>
        <v>1.227843948818901E-2</v>
      </c>
      <c r="I50" s="16" t="s">
        <v>219</v>
      </c>
    </row>
    <row r="52" spans="1:11" ht="29.1" customHeight="1" x14ac:dyDescent="0.2">
      <c r="A52" s="105" t="s">
        <v>129</v>
      </c>
      <c r="B52" s="105"/>
      <c r="C52" s="105"/>
      <c r="D52" s="105"/>
      <c r="E52" s="105"/>
      <c r="F52" s="105"/>
      <c r="G52" s="64" t="s">
        <v>220</v>
      </c>
      <c r="H52" s="71">
        <f>PI()^2*H44*10^6*H50/H48^2</f>
        <v>48906461.161918961</v>
      </c>
      <c r="I52" s="16" t="s">
        <v>38</v>
      </c>
    </row>
    <row r="54" spans="1:11" ht="14.25" x14ac:dyDescent="0.2">
      <c r="A54" s="58" t="s">
        <v>39</v>
      </c>
      <c r="G54" s="64" t="s">
        <v>130</v>
      </c>
      <c r="H54" s="21">
        <f>PI()*((B8/10)^2-(H18/10)^2)/4</f>
        <v>679.71498653068659</v>
      </c>
      <c r="I54" s="16" t="s">
        <v>221</v>
      </c>
      <c r="J54" s="72">
        <f>H54/10^4</f>
        <v>6.797149865306866E-2</v>
      </c>
      <c r="K54" s="16" t="s">
        <v>222</v>
      </c>
    </row>
    <row r="56" spans="1:11" x14ac:dyDescent="0.2">
      <c r="A56" s="58" t="s">
        <v>40</v>
      </c>
      <c r="G56" s="64" t="s">
        <v>131</v>
      </c>
      <c r="H56" s="71">
        <f>100*((0.5-H46)*H38+H45*H44*(F8-E8))*H54</f>
        <v>10406436.443784809</v>
      </c>
      <c r="I56" s="16" t="s">
        <v>38</v>
      </c>
    </row>
    <row r="58" spans="1:11" x14ac:dyDescent="0.2">
      <c r="A58" s="73" t="s">
        <v>41</v>
      </c>
    </row>
    <row r="59" spans="1:11" x14ac:dyDescent="0.2">
      <c r="A59" s="71">
        <f>H56</f>
        <v>10406436.443784809</v>
      </c>
      <c r="B59" s="16" t="s">
        <v>38</v>
      </c>
      <c r="C59" s="16" t="str">
        <f>IF(A59&lt;D59,"&lt;","&gt;")</f>
        <v>&lt;</v>
      </c>
      <c r="D59" s="71">
        <f>H22*H52</f>
        <v>29343876.697151374</v>
      </c>
      <c r="E59" s="16" t="s">
        <v>38</v>
      </c>
      <c r="F59" s="66" t="str">
        <f>IF(C59="&lt;"," - проверка на продольную устойчивость выполняется"," - проверка на продольную устойчивость не выполняется")</f>
        <v xml:space="preserve"> - проверка на продольную устойчивость выполняется</v>
      </c>
    </row>
    <row r="60" spans="1:11" x14ac:dyDescent="0.2">
      <c r="A60" s="71"/>
      <c r="B60" s="16"/>
      <c r="C60" s="16"/>
      <c r="D60" s="71"/>
      <c r="E60" s="16"/>
      <c r="F60" s="66"/>
    </row>
    <row r="61" spans="1:11" ht="15.75" x14ac:dyDescent="0.3">
      <c r="A61" s="58" t="s">
        <v>223</v>
      </c>
    </row>
    <row r="62" spans="1:11" ht="14.25" x14ac:dyDescent="0.2">
      <c r="A62" s="64" t="s">
        <v>218</v>
      </c>
      <c r="B62" s="21">
        <f>H48-4.5</f>
        <v>18.037994625350425</v>
      </c>
      <c r="C62" s="16" t="s">
        <v>34</v>
      </c>
    </row>
    <row r="63" spans="1:11" x14ac:dyDescent="0.2">
      <c r="A63" s="71">
        <f>H56</f>
        <v>10406436.443784809</v>
      </c>
      <c r="B63" s="16" t="s">
        <v>38</v>
      </c>
      <c r="C63" s="16" t="str">
        <f>IF(A63&lt;D63,"&lt;","&gt;")</f>
        <v>&lt;</v>
      </c>
      <c r="D63" s="71">
        <f>PI()^2*H44*10^6*H50/B62^2</f>
        <v>76351974.798878416</v>
      </c>
      <c r="E63" s="16" t="s">
        <v>38</v>
      </c>
      <c r="F63" s="66" t="str">
        <f>IF(C63="&lt;"," - проверка на продольную устойчивость выполняется"," - проверка на продольную устойчивость не выполняется")</f>
        <v xml:space="preserve"> - проверка на продольную устойчивость выполняется</v>
      </c>
    </row>
    <row r="64" spans="1:11" x14ac:dyDescent="0.2">
      <c r="A64" s="71"/>
      <c r="B64" s="16"/>
      <c r="C64" s="16"/>
      <c r="D64" s="71"/>
      <c r="E64" s="16"/>
      <c r="F64" s="66"/>
    </row>
    <row r="65" spans="1:9" x14ac:dyDescent="0.2">
      <c r="A65" s="66" t="s">
        <v>42</v>
      </c>
    </row>
    <row r="67" spans="1:9" ht="14.25" x14ac:dyDescent="0.2">
      <c r="A67" s="58" t="s">
        <v>67</v>
      </c>
      <c r="G67" s="64" t="s">
        <v>162</v>
      </c>
      <c r="H67" s="21">
        <f>G8*H18/(2*H16)</f>
        <v>148</v>
      </c>
      <c r="I67" s="16" t="s">
        <v>21</v>
      </c>
    </row>
    <row r="69" spans="1:9" ht="14.25" x14ac:dyDescent="0.2">
      <c r="A69" s="58" t="s">
        <v>132</v>
      </c>
      <c r="B69" s="16"/>
      <c r="C69" s="16"/>
      <c r="G69" s="64" t="s">
        <v>153</v>
      </c>
      <c r="H69" s="16">
        <f>-H45*H44*(F8-E8)+H46*H36*G8*H18/(2*H16)</f>
        <v>-71.699999999999974</v>
      </c>
      <c r="I69" s="16" t="s">
        <v>21</v>
      </c>
    </row>
    <row r="71" spans="1:9" ht="29.1" customHeight="1" x14ac:dyDescent="0.2">
      <c r="A71" s="105" t="s">
        <v>133</v>
      </c>
      <c r="B71" s="105"/>
      <c r="C71" s="105"/>
      <c r="D71" s="105"/>
      <c r="E71" s="105"/>
      <c r="F71" s="105"/>
      <c r="G71" s="64" t="s">
        <v>164</v>
      </c>
      <c r="H71" s="74">
        <f>IF(H69&lt;0,SQRT(1-0.75*(H67/(H22/(0.9*H23)*H21))^2)-0.5*(H67/(H22/(0.9*H23)*H21)),1)</f>
        <v>0.54051197051799638</v>
      </c>
    </row>
    <row r="73" spans="1:9" x14ac:dyDescent="0.2">
      <c r="A73" s="73" t="s">
        <v>43</v>
      </c>
    </row>
    <row r="74" spans="1:9" x14ac:dyDescent="0.2">
      <c r="A74" s="16">
        <f>ABS(H69)</f>
        <v>71.699999999999974</v>
      </c>
      <c r="B74" s="16" t="s">
        <v>21</v>
      </c>
      <c r="C74" s="16" t="str">
        <f>IF(A74&lt;D74,"&lt;","&gt;")</f>
        <v>&lt;</v>
      </c>
      <c r="D74" s="21">
        <f>H71*H26</f>
        <v>102.05940312886391</v>
      </c>
      <c r="E74" s="16" t="s">
        <v>21</v>
      </c>
      <c r="F74" s="66" t="str">
        <f>IF(C74="&lt;"," - проверка на прочность выполняется"," - проверка на прочность не выполняется")</f>
        <v xml:space="preserve"> - проверка на прочность выполняется</v>
      </c>
    </row>
    <row r="76" spans="1:9" x14ac:dyDescent="0.2">
      <c r="A76" s="66" t="s">
        <v>30</v>
      </c>
    </row>
    <row r="78" spans="1:9" ht="14.25" x14ac:dyDescent="0.2">
      <c r="A78" s="58" t="s">
        <v>134</v>
      </c>
      <c r="G78" s="64" t="s">
        <v>224</v>
      </c>
      <c r="H78" s="75">
        <f>H34*H40^4/(384*H44*10^6*H50)</f>
        <v>2.8829075875078516E-2</v>
      </c>
      <c r="I78" s="16" t="s">
        <v>34</v>
      </c>
    </row>
    <row r="80" spans="1:9" x14ac:dyDescent="0.2">
      <c r="A80" s="58" t="s">
        <v>137</v>
      </c>
      <c r="G80" s="76" t="s">
        <v>135</v>
      </c>
      <c r="H80" s="74">
        <f>H78*1/(1+H56/H52)</f>
        <v>2.3771020073768204E-2</v>
      </c>
      <c r="I80" s="16" t="s">
        <v>34</v>
      </c>
    </row>
    <row r="82" spans="1:9" ht="14.25" x14ac:dyDescent="0.2">
      <c r="A82" s="58" t="s">
        <v>136</v>
      </c>
      <c r="G82" s="64" t="s">
        <v>225</v>
      </c>
      <c r="H82" s="71">
        <f>H34*H40^2/12+H56*H80/2</f>
        <v>1769382.1080298186</v>
      </c>
      <c r="I82" s="16" t="s">
        <v>86</v>
      </c>
    </row>
    <row r="84" spans="1:9" ht="27" customHeight="1" x14ac:dyDescent="0.2">
      <c r="A84" s="105" t="s">
        <v>68</v>
      </c>
      <c r="B84" s="105"/>
      <c r="C84" s="105"/>
      <c r="D84" s="105"/>
      <c r="E84" s="105"/>
      <c r="F84" s="105"/>
      <c r="G84" s="64" t="s">
        <v>163</v>
      </c>
      <c r="H84" s="21">
        <f>(H82/H28+H56/H54)/10^6</f>
        <v>115.50855493991617</v>
      </c>
      <c r="I84" s="16" t="s">
        <v>21</v>
      </c>
    </row>
    <row r="86" spans="1:9" x14ac:dyDescent="0.2">
      <c r="A86" s="73" t="s">
        <v>44</v>
      </c>
    </row>
    <row r="87" spans="1:9" ht="38.25" customHeight="1" x14ac:dyDescent="0.2">
      <c r="A87" s="21">
        <f>ABS(H84)</f>
        <v>115.50855493991617</v>
      </c>
      <c r="B87" s="16" t="s">
        <v>21</v>
      </c>
      <c r="C87" s="16" t="str">
        <f>IF(A87&lt;D87,"&lt;","&gt;")</f>
        <v>&lt;</v>
      </c>
      <c r="D87" s="21">
        <f>IF(H84&lt;0,H71*H22/(0.9*H23)*H21,H22/(0.9*H23)*H21)</f>
        <v>241.26984126984127</v>
      </c>
      <c r="E87" s="16" t="s">
        <v>21</v>
      </c>
      <c r="F87" s="104" t="str">
        <f>IF(C87="&lt;"," - проверка на недопустимость пластических деформаций выполняется"," - проверка на недопустимость пластических деформаций не выполняется")</f>
        <v xml:space="preserve"> - проверка на недопустимость пластических деформаций выполняется</v>
      </c>
      <c r="G87" s="104"/>
      <c r="H87" s="104"/>
      <c r="I87" s="104"/>
    </row>
    <row r="89" spans="1:9" ht="39.75" customHeight="1" x14ac:dyDescent="0.2">
      <c r="A89" s="21">
        <f>H82/H28*10^(-6)</f>
        <v>115.49324493991615</v>
      </c>
      <c r="B89" s="16" t="s">
        <v>21</v>
      </c>
      <c r="C89" s="16" t="str">
        <f>IF(A89&lt;D89,"&lt;","&gt;")</f>
        <v>&lt;</v>
      </c>
      <c r="D89" s="21">
        <f>IF(H84&lt;0,0.635*H26*(1+H71)*SIN((H84+H71*H26)*PI()/((1+H71)*H26)),0.635*H26*(1+1)*SIN((H84+1*H26)*PI()/((1+1)*H26)))</f>
        <v>137.35041609065686</v>
      </c>
      <c r="E89" s="16" t="s">
        <v>21</v>
      </c>
      <c r="F89" s="104" t="str">
        <f>IF(C89="&lt;"," - проверка на недопустимость пластических деформаций выполняется"," - проверка на недопустимость пластических деформаций не выполняется")</f>
        <v xml:space="preserve"> - проверка на недопустимость пластических деформаций выполняется</v>
      </c>
      <c r="G89" s="104"/>
      <c r="H89" s="104"/>
      <c r="I89" s="104"/>
    </row>
  </sheetData>
  <mergeCells count="21">
    <mergeCell ref="F87:I87"/>
    <mergeCell ref="F89:I89"/>
    <mergeCell ref="E48:F48"/>
    <mergeCell ref="A52:F52"/>
    <mergeCell ref="A71:F71"/>
    <mergeCell ref="A84:F84"/>
    <mergeCell ref="A15:I15"/>
    <mergeCell ref="A43:I43"/>
    <mergeCell ref="D12:F12"/>
    <mergeCell ref="A1:I1"/>
    <mergeCell ref="A5:I5"/>
    <mergeCell ref="A2:I2"/>
    <mergeCell ref="A3:I3"/>
    <mergeCell ref="A11:I11"/>
    <mergeCell ref="A18:F18"/>
    <mergeCell ref="A19:F19"/>
    <mergeCell ref="B20:F20"/>
    <mergeCell ref="B21:F21"/>
    <mergeCell ref="A22:F22"/>
    <mergeCell ref="A23:F23"/>
    <mergeCell ref="A24:F24"/>
  </mergeCells>
  <dataValidations count="2">
    <dataValidation type="list" allowBlank="1" showInputMessage="1" showErrorMessage="1" sqref="D12">
      <formula1>МТ</formula1>
    </dataValidation>
    <dataValidation type="list" allowBlank="1" showInputMessage="1" showErrorMessage="1" sqref="E48:F48">
      <formula1>БП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L41" sqref="L41"/>
    </sheetView>
  </sheetViews>
  <sheetFormatPr defaultRowHeight="15" x14ac:dyDescent="0.25"/>
  <cols>
    <col min="1" max="1" width="21.28515625" customWidth="1"/>
    <col min="2" max="2" width="12.140625" customWidth="1"/>
    <col min="3" max="10" width="5.28515625" customWidth="1"/>
  </cols>
  <sheetData>
    <row r="1" spans="1:2" ht="45" customHeight="1" x14ac:dyDescent="0.25">
      <c r="A1" s="1" t="s">
        <v>16</v>
      </c>
      <c r="B1" s="1" t="s">
        <v>15</v>
      </c>
    </row>
    <row r="2" spans="1:2" x14ac:dyDescent="0.25">
      <c r="A2" s="2" t="s">
        <v>2</v>
      </c>
      <c r="B2" s="2">
        <v>0.6</v>
      </c>
    </row>
    <row r="3" spans="1:2" x14ac:dyDescent="0.25">
      <c r="A3" s="2" t="s">
        <v>3</v>
      </c>
      <c r="B3" s="2">
        <v>0.75</v>
      </c>
    </row>
    <row r="4" spans="1:2" x14ac:dyDescent="0.25">
      <c r="A4" s="2" t="s">
        <v>4</v>
      </c>
      <c r="B4" s="2">
        <v>0.75</v>
      </c>
    </row>
    <row r="5" spans="1:2" x14ac:dyDescent="0.25">
      <c r="A5" s="2" t="s">
        <v>5</v>
      </c>
      <c r="B5" s="2">
        <v>0.9</v>
      </c>
    </row>
    <row r="6" spans="1:2" x14ac:dyDescent="0.25">
      <c r="A6" s="2" t="s">
        <v>6</v>
      </c>
      <c r="B6" s="2">
        <v>0.9</v>
      </c>
    </row>
    <row r="8" spans="1:2" x14ac:dyDescent="0.25">
      <c r="A8" t="s">
        <v>17</v>
      </c>
    </row>
    <row r="9" spans="1:2" x14ac:dyDescent="0.25">
      <c r="A9" t="s">
        <v>18</v>
      </c>
    </row>
    <row r="10" spans="1:2" x14ac:dyDescent="0.25">
      <c r="A10" t="s">
        <v>19</v>
      </c>
    </row>
    <row r="12" spans="1:2" x14ac:dyDescent="0.25">
      <c r="A12" t="s">
        <v>36</v>
      </c>
    </row>
    <row r="13" spans="1:2" x14ac:dyDescent="0.25">
      <c r="A13" t="s">
        <v>37</v>
      </c>
    </row>
    <row r="15" spans="1:2" x14ac:dyDescent="0.25">
      <c r="A15" t="s">
        <v>94</v>
      </c>
    </row>
    <row r="16" spans="1:2" x14ac:dyDescent="0.25">
      <c r="A16" t="s">
        <v>95</v>
      </c>
    </row>
    <row r="18" spans="1:9" x14ac:dyDescent="0.25">
      <c r="A18" t="s">
        <v>102</v>
      </c>
    </row>
    <row r="19" spans="1:9" x14ac:dyDescent="0.25">
      <c r="A19" t="s">
        <v>103</v>
      </c>
    </row>
    <row r="24" spans="1:9" x14ac:dyDescent="0.25">
      <c r="A24" s="107" t="s">
        <v>117</v>
      </c>
      <c r="B24" s="107" t="s">
        <v>118</v>
      </c>
      <c r="C24" s="106" t="s">
        <v>104</v>
      </c>
      <c r="D24" s="106"/>
      <c r="E24" s="106"/>
      <c r="F24" s="106"/>
      <c r="G24" s="106"/>
      <c r="H24" s="106"/>
      <c r="I24" s="106"/>
    </row>
    <row r="25" spans="1:9" x14ac:dyDescent="0.25">
      <c r="A25" s="107"/>
      <c r="B25" s="107"/>
      <c r="C25" s="3" t="s">
        <v>72</v>
      </c>
      <c r="D25" s="3" t="s">
        <v>73</v>
      </c>
      <c r="E25" s="3" t="s">
        <v>105</v>
      </c>
      <c r="F25" s="3" t="s">
        <v>106</v>
      </c>
      <c r="G25" s="3" t="s">
        <v>107</v>
      </c>
      <c r="H25" s="3" t="s">
        <v>108</v>
      </c>
      <c r="I25" s="3" t="s">
        <v>109</v>
      </c>
    </row>
    <row r="26" spans="1:9" x14ac:dyDescent="0.25">
      <c r="A26">
        <v>325</v>
      </c>
      <c r="B26">
        <v>300</v>
      </c>
      <c r="C26">
        <v>840</v>
      </c>
      <c r="D26">
        <v>590</v>
      </c>
      <c r="E26">
        <v>400</v>
      </c>
      <c r="F26">
        <v>200</v>
      </c>
      <c r="G26">
        <v>220</v>
      </c>
      <c r="H26">
        <v>40</v>
      </c>
      <c r="I26">
        <v>170</v>
      </c>
    </row>
    <row r="27" spans="1:9" x14ac:dyDescent="0.25">
      <c r="A27">
        <v>426</v>
      </c>
      <c r="B27">
        <v>500</v>
      </c>
      <c r="C27">
        <v>1080</v>
      </c>
      <c r="D27">
        <v>760</v>
      </c>
      <c r="E27">
        <v>400</v>
      </c>
      <c r="F27">
        <v>260</v>
      </c>
      <c r="G27">
        <v>280</v>
      </c>
      <c r="H27">
        <v>40</v>
      </c>
      <c r="I27">
        <v>220</v>
      </c>
    </row>
    <row r="28" spans="1:9" x14ac:dyDescent="0.25">
      <c r="A28">
        <v>529</v>
      </c>
      <c r="B28">
        <v>1500</v>
      </c>
      <c r="C28">
        <v>1320</v>
      </c>
      <c r="D28">
        <v>900</v>
      </c>
      <c r="E28">
        <v>800</v>
      </c>
      <c r="F28">
        <v>330</v>
      </c>
      <c r="G28">
        <v>330</v>
      </c>
      <c r="H28">
        <v>40</v>
      </c>
      <c r="I28">
        <v>240</v>
      </c>
    </row>
    <row r="29" spans="1:9" x14ac:dyDescent="0.25">
      <c r="A29">
        <v>720</v>
      </c>
      <c r="B29">
        <v>3000</v>
      </c>
      <c r="C29">
        <v>1540</v>
      </c>
      <c r="D29">
        <v>1120</v>
      </c>
      <c r="E29">
        <v>1200</v>
      </c>
      <c r="F29">
        <v>340</v>
      </c>
      <c r="G29">
        <v>430</v>
      </c>
      <c r="H29">
        <v>40</v>
      </c>
      <c r="I29">
        <v>340</v>
      </c>
    </row>
    <row r="30" spans="1:9" x14ac:dyDescent="0.25">
      <c r="A30">
        <v>820</v>
      </c>
      <c r="B30">
        <v>3000</v>
      </c>
      <c r="C30">
        <v>1640</v>
      </c>
      <c r="D30">
        <v>1210</v>
      </c>
      <c r="E30">
        <v>1100</v>
      </c>
      <c r="F30">
        <v>346</v>
      </c>
      <c r="G30">
        <v>480</v>
      </c>
      <c r="H30">
        <v>40</v>
      </c>
      <c r="I30">
        <v>390</v>
      </c>
    </row>
    <row r="31" spans="1:9" x14ac:dyDescent="0.25">
      <c r="A31">
        <v>1020</v>
      </c>
      <c r="B31">
        <v>3000</v>
      </c>
      <c r="C31">
        <v>1840</v>
      </c>
      <c r="D31">
        <v>1430</v>
      </c>
      <c r="E31">
        <v>900</v>
      </c>
      <c r="F31">
        <v>340</v>
      </c>
      <c r="G31">
        <v>580</v>
      </c>
      <c r="H31">
        <v>40</v>
      </c>
      <c r="I31">
        <v>500</v>
      </c>
    </row>
    <row r="32" spans="1:9" x14ac:dyDescent="0.25">
      <c r="A32">
        <v>1220</v>
      </c>
      <c r="B32">
        <v>4000</v>
      </c>
      <c r="C32">
        <v>2000</v>
      </c>
      <c r="D32">
        <v>1600</v>
      </c>
      <c r="E32">
        <v>1050</v>
      </c>
      <c r="F32">
        <v>320</v>
      </c>
      <c r="G32">
        <v>580</v>
      </c>
      <c r="H32">
        <v>50</v>
      </c>
      <c r="I32">
        <v>500</v>
      </c>
    </row>
    <row r="33" spans="1:9" x14ac:dyDescent="0.25">
      <c r="A33">
        <v>1420</v>
      </c>
      <c r="B33">
        <v>4000</v>
      </c>
      <c r="C33">
        <v>2100</v>
      </c>
      <c r="D33">
        <v>1750</v>
      </c>
      <c r="E33">
        <v>1110</v>
      </c>
      <c r="F33">
        <v>250</v>
      </c>
      <c r="G33">
        <v>800</v>
      </c>
      <c r="H33">
        <v>90</v>
      </c>
      <c r="I33">
        <v>620</v>
      </c>
    </row>
    <row r="35" spans="1:9" x14ac:dyDescent="0.25">
      <c r="A35" s="107" t="s">
        <v>117</v>
      </c>
      <c r="B35" s="107" t="s">
        <v>118</v>
      </c>
      <c r="C35" s="106" t="s">
        <v>104</v>
      </c>
      <c r="D35" s="106"/>
      <c r="E35" s="106"/>
      <c r="F35" s="106"/>
      <c r="G35" s="106"/>
      <c r="H35" s="106"/>
      <c r="I35" s="106"/>
    </row>
    <row r="36" spans="1:9" x14ac:dyDescent="0.25">
      <c r="A36" s="107"/>
      <c r="B36" s="107"/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114</v>
      </c>
      <c r="H36" s="3" t="s">
        <v>106</v>
      </c>
      <c r="I36" s="3" t="s">
        <v>79</v>
      </c>
    </row>
    <row r="37" spans="1:9" x14ac:dyDescent="0.25">
      <c r="A37">
        <v>325</v>
      </c>
      <c r="B37">
        <v>250</v>
      </c>
      <c r="C37">
        <v>275</v>
      </c>
      <c r="D37">
        <v>210</v>
      </c>
      <c r="E37">
        <v>150</v>
      </c>
      <c r="F37">
        <v>260</v>
      </c>
      <c r="G37">
        <v>400</v>
      </c>
      <c r="H37">
        <v>20</v>
      </c>
      <c r="I37">
        <v>120</v>
      </c>
    </row>
    <row r="38" spans="1:9" x14ac:dyDescent="0.25">
      <c r="A38">
        <v>377</v>
      </c>
      <c r="B38">
        <v>300</v>
      </c>
      <c r="C38">
        <v>305</v>
      </c>
      <c r="D38">
        <v>245</v>
      </c>
      <c r="E38">
        <v>175</v>
      </c>
      <c r="F38">
        <v>285</v>
      </c>
      <c r="G38">
        <v>450</v>
      </c>
      <c r="H38">
        <v>20</v>
      </c>
      <c r="I38">
        <v>130</v>
      </c>
    </row>
    <row r="39" spans="1:9" x14ac:dyDescent="0.25">
      <c r="A39">
        <v>426</v>
      </c>
      <c r="B39">
        <v>350</v>
      </c>
      <c r="C39">
        <v>330</v>
      </c>
      <c r="D39">
        <v>264</v>
      </c>
      <c r="E39">
        <v>200</v>
      </c>
      <c r="F39">
        <v>310</v>
      </c>
      <c r="G39">
        <v>500</v>
      </c>
      <c r="H39">
        <v>20</v>
      </c>
      <c r="I39">
        <v>130</v>
      </c>
    </row>
    <row r="40" spans="1:9" x14ac:dyDescent="0.25">
      <c r="A40">
        <v>478</v>
      </c>
      <c r="B40">
        <v>400</v>
      </c>
      <c r="C40">
        <v>355</v>
      </c>
      <c r="D40">
        <v>294</v>
      </c>
      <c r="E40">
        <v>230</v>
      </c>
      <c r="F40">
        <v>335</v>
      </c>
      <c r="G40">
        <v>500</v>
      </c>
      <c r="H40">
        <v>20</v>
      </c>
      <c r="I40">
        <v>140</v>
      </c>
    </row>
    <row r="41" spans="1:9" x14ac:dyDescent="0.25">
      <c r="A41">
        <v>529</v>
      </c>
      <c r="B41">
        <v>450</v>
      </c>
      <c r="C41">
        <v>385</v>
      </c>
      <c r="D41">
        <v>320</v>
      </c>
      <c r="E41">
        <v>255</v>
      </c>
      <c r="F41">
        <v>360</v>
      </c>
      <c r="G41">
        <v>500</v>
      </c>
      <c r="H41">
        <v>20</v>
      </c>
      <c r="I41">
        <v>170</v>
      </c>
    </row>
    <row r="42" spans="1:9" x14ac:dyDescent="0.25">
      <c r="A42">
        <v>630</v>
      </c>
      <c r="B42">
        <v>500</v>
      </c>
      <c r="C42">
        <v>435</v>
      </c>
      <c r="D42">
        <v>373</v>
      </c>
      <c r="E42">
        <v>280</v>
      </c>
      <c r="F42">
        <v>410</v>
      </c>
      <c r="G42">
        <v>500</v>
      </c>
      <c r="H42">
        <v>20</v>
      </c>
      <c r="I42">
        <v>170</v>
      </c>
    </row>
    <row r="43" spans="1:9" x14ac:dyDescent="0.25">
      <c r="A43">
        <v>720</v>
      </c>
      <c r="B43">
        <v>1100</v>
      </c>
      <c r="C43">
        <v>480</v>
      </c>
      <c r="D43">
        <v>415</v>
      </c>
      <c r="E43">
        <v>310</v>
      </c>
      <c r="F43">
        <v>455</v>
      </c>
      <c r="G43">
        <v>960</v>
      </c>
      <c r="H43">
        <v>24</v>
      </c>
      <c r="I43">
        <v>180</v>
      </c>
    </row>
    <row r="44" spans="1:9" x14ac:dyDescent="0.25">
      <c r="A44">
        <v>820</v>
      </c>
      <c r="B44">
        <v>1100</v>
      </c>
      <c r="C44">
        <v>530</v>
      </c>
      <c r="D44">
        <v>465</v>
      </c>
      <c r="E44">
        <v>360</v>
      </c>
      <c r="F44">
        <v>505</v>
      </c>
      <c r="G44">
        <v>870</v>
      </c>
      <c r="H44">
        <v>24</v>
      </c>
      <c r="I44">
        <v>180</v>
      </c>
    </row>
    <row r="45" spans="1:9" x14ac:dyDescent="0.25">
      <c r="A45">
        <v>1020</v>
      </c>
      <c r="B45">
        <v>1100</v>
      </c>
      <c r="C45">
        <v>635</v>
      </c>
      <c r="D45">
        <v>570</v>
      </c>
      <c r="E45">
        <v>405</v>
      </c>
      <c r="F45">
        <v>610</v>
      </c>
      <c r="G45">
        <v>725</v>
      </c>
      <c r="H45">
        <v>24</v>
      </c>
      <c r="I45">
        <v>180</v>
      </c>
    </row>
  </sheetData>
  <mergeCells count="6">
    <mergeCell ref="C24:I24"/>
    <mergeCell ref="B24:B25"/>
    <mergeCell ref="A24:A25"/>
    <mergeCell ref="A35:A36"/>
    <mergeCell ref="B35:B36"/>
    <mergeCell ref="C35:I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Работа 1</vt:lpstr>
      <vt:lpstr>Работа 2</vt:lpstr>
      <vt:lpstr>Работа 3</vt:lpstr>
      <vt:lpstr>Работа 4</vt:lpstr>
      <vt:lpstr>Работа 5</vt:lpstr>
      <vt:lpstr>Справочное</vt:lpstr>
      <vt:lpstr>БП</vt:lpstr>
      <vt:lpstr>МТ</vt:lpstr>
      <vt:lpstr>Пригруз</vt:lpstr>
      <vt:lpstr>УТ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Margarita</cp:lastModifiedBy>
  <dcterms:created xsi:type="dcterms:W3CDTF">2018-12-14T05:15:17Z</dcterms:created>
  <dcterms:modified xsi:type="dcterms:W3CDTF">2019-01-30T16:37:51Z</dcterms:modified>
</cp:coreProperties>
</file>