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зя\Desktop\"/>
    </mc:Choice>
  </mc:AlternateContent>
  <xr:revisionPtr revIDLastSave="0" documentId="8_{D7D53BC4-3C7A-416B-A957-9AEA42A5E41B}" xr6:coauthVersionLast="34" xr6:coauthVersionMax="34" xr10:uidLastSave="{00000000-0000-0000-0000-000000000000}"/>
  <bookViews>
    <workbookView xWindow="240" yWindow="120" windowWidth="10515" windowHeight="468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2" i="1"/>
  <c r="M3" i="1"/>
  <c r="M4" i="1"/>
  <c r="M5" i="1"/>
  <c r="M6" i="1"/>
  <c r="M7" i="1"/>
  <c r="M2" i="1"/>
  <c r="K11" i="1"/>
  <c r="K10" i="1"/>
  <c r="K5" i="1"/>
  <c r="G3" i="1"/>
  <c r="G4" i="1"/>
  <c r="G5" i="1"/>
  <c r="G6" i="1"/>
  <c r="G7" i="1"/>
  <c r="G2" i="1"/>
  <c r="B13" i="1"/>
  <c r="A13" i="1"/>
  <c r="E10" i="1" l="1"/>
  <c r="D10" i="1"/>
  <c r="C10" i="1"/>
  <c r="B10" i="1"/>
  <c r="B7" i="1"/>
  <c r="B2" i="1"/>
  <c r="K36" i="2" l="1"/>
  <c r="B35" i="2"/>
  <c r="B36" i="2" s="1"/>
  <c r="D35" i="2"/>
  <c r="D36" i="2" s="1"/>
  <c r="E35" i="2"/>
  <c r="E36" i="2" s="1"/>
  <c r="F35" i="2"/>
  <c r="F36" i="2" s="1"/>
  <c r="H35" i="2"/>
  <c r="H36" i="2" s="1"/>
  <c r="A35" i="2"/>
  <c r="A36" i="2" s="1"/>
  <c r="I34" i="2"/>
  <c r="C35" i="2" s="1"/>
  <c r="C36" i="2" s="1"/>
  <c r="K31" i="2"/>
  <c r="I29" i="2"/>
  <c r="B30" i="2" s="1"/>
  <c r="B31" i="2" s="1"/>
  <c r="K26" i="2"/>
  <c r="I24" i="2"/>
  <c r="C25" i="2" s="1"/>
  <c r="C26" i="2" s="1"/>
  <c r="K17" i="2"/>
  <c r="K18" i="2" s="1"/>
  <c r="L13" i="2"/>
  <c r="C13" i="2"/>
  <c r="D13" i="2"/>
  <c r="G13" i="2"/>
  <c r="H13" i="2"/>
  <c r="I12" i="2"/>
  <c r="L12" i="2" s="1"/>
  <c r="M12" i="2" s="1"/>
  <c r="J7" i="2"/>
  <c r="B7" i="2"/>
  <c r="C7" i="2"/>
  <c r="F7" i="2"/>
  <c r="G7" i="2"/>
  <c r="H6" i="2"/>
  <c r="D7" i="2" s="1"/>
  <c r="B2" i="2"/>
  <c r="B3" i="2"/>
  <c r="C3" i="2"/>
  <c r="F3" i="2"/>
  <c r="G3" i="2"/>
  <c r="C2" i="2"/>
  <c r="D2" i="2"/>
  <c r="D3" i="2" s="1"/>
  <c r="F2" i="2"/>
  <c r="G2" i="2"/>
  <c r="H2" i="2"/>
  <c r="H3" i="2" s="1"/>
  <c r="I1" i="2"/>
  <c r="A2" i="2" s="1"/>
  <c r="A3" i="2" s="1"/>
  <c r="B3" i="1"/>
  <c r="B4" i="1"/>
  <c r="B5" i="1"/>
  <c r="B6" i="1"/>
  <c r="E7" i="1" l="1"/>
  <c r="E3" i="1"/>
  <c r="E4" i="1"/>
  <c r="E6" i="1"/>
  <c r="E5" i="1"/>
  <c r="A30" i="2"/>
  <c r="A31" i="2" s="1"/>
  <c r="E30" i="2"/>
  <c r="E31" i="2" s="1"/>
  <c r="H30" i="2"/>
  <c r="H31" i="2" s="1"/>
  <c r="D30" i="2"/>
  <c r="D31" i="2" s="1"/>
  <c r="M36" i="2"/>
  <c r="E7" i="2"/>
  <c r="F13" i="2"/>
  <c r="B13" i="2"/>
  <c r="F25" i="2"/>
  <c r="F26" i="2" s="1"/>
  <c r="G30" i="2"/>
  <c r="G31" i="2" s="1"/>
  <c r="C30" i="2"/>
  <c r="C31" i="2" s="1"/>
  <c r="E2" i="2"/>
  <c r="E3" i="2" s="1"/>
  <c r="I3" i="2" s="1"/>
  <c r="J3" i="2" s="1"/>
  <c r="A7" i="2"/>
  <c r="A13" i="2"/>
  <c r="E13" i="2"/>
  <c r="F30" i="2"/>
  <c r="F31" i="2" s="1"/>
  <c r="G35" i="2"/>
  <c r="G36" i="2" s="1"/>
  <c r="I36" i="2" s="1"/>
  <c r="J36" i="2" s="1"/>
  <c r="G25" i="2"/>
  <c r="G26" i="2" s="1"/>
  <c r="B25" i="2"/>
  <c r="B26" i="2" s="1"/>
  <c r="E25" i="2"/>
  <c r="E26" i="2" s="1"/>
  <c r="A25" i="2"/>
  <c r="A26" i="2" s="1"/>
  <c r="D25" i="2"/>
  <c r="D26" i="2" s="1"/>
  <c r="H25" i="2"/>
  <c r="H26" i="2" s="1"/>
  <c r="H3" i="1"/>
  <c r="H4" i="1"/>
  <c r="H5" i="1"/>
  <c r="H6" i="1"/>
  <c r="H7" i="1"/>
  <c r="C4" i="1"/>
  <c r="C5" i="1"/>
  <c r="C6" i="1"/>
  <c r="E2" i="1" l="1"/>
  <c r="M34" i="2"/>
  <c r="J38" i="2"/>
  <c r="I13" i="2"/>
  <c r="J13" i="2" s="1"/>
  <c r="J14" i="2" s="1"/>
  <c r="J15" i="2" s="1"/>
  <c r="M18" i="2" s="1"/>
  <c r="N18" i="2" s="1"/>
  <c r="K20" i="2" s="1"/>
  <c r="K21" i="2" s="1"/>
  <c r="H2" i="1"/>
  <c r="I2" i="1" s="1"/>
  <c r="H7" i="2"/>
  <c r="I7" i="2" s="1"/>
  <c r="I9" i="2" s="1"/>
  <c r="I31" i="2"/>
  <c r="J31" i="2" s="1"/>
  <c r="I26" i="2"/>
  <c r="J26" i="2" s="1"/>
  <c r="K27" i="2" s="1"/>
  <c r="C2" i="1"/>
  <c r="C7" i="1"/>
  <c r="C3" i="1"/>
  <c r="M31" i="2" l="1"/>
  <c r="O32" i="2" s="1"/>
  <c r="P32" i="2" s="1"/>
  <c r="J33" i="2"/>
  <c r="J5" i="1"/>
  <c r="J7" i="1"/>
  <c r="K7" i="1" s="1"/>
  <c r="J4" i="1"/>
  <c r="K4" i="1" s="1"/>
  <c r="J6" i="1"/>
  <c r="K6" i="1" s="1"/>
  <c r="J2" i="1"/>
  <c r="K2" i="1" s="1"/>
  <c r="J3" i="1"/>
  <c r="K3" i="1" s="1"/>
</calcChain>
</file>

<file path=xl/sharedStrings.xml><?xml version="1.0" encoding="utf-8"?>
<sst xmlns="http://schemas.openxmlformats.org/spreadsheetml/2006/main" count="18" uniqueCount="18">
  <si>
    <t>Номер измерения</t>
  </si>
  <si>
    <t>Сумма</t>
  </si>
  <si>
    <t>t, сек</t>
  </si>
  <si>
    <r>
      <t>t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</si>
  <si>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S, м</t>
  </si>
  <si>
    <t>S*t</t>
  </si>
  <si>
    <r>
      <t>S-S</t>
    </r>
    <r>
      <rPr>
        <vertAlign val="subscript"/>
        <sz val="11"/>
        <color theme="1"/>
        <rFont val="Calibri"/>
        <family val="2"/>
        <charset val="204"/>
        <scheme val="minor"/>
      </rPr>
      <t>0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</si>
  <si>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>=S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>/t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</si>
  <si>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t>a</t>
  </si>
  <si>
    <t>b</t>
  </si>
  <si>
    <t>Δv</t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</si>
  <si>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cp</t>
    </r>
  </si>
  <si>
    <r>
      <t>Δv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</si>
  <si>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Δv</t>
    </r>
    <r>
      <rPr>
        <vertAlign val="subscript"/>
        <sz val="11"/>
        <color theme="1"/>
        <rFont val="Calibri"/>
        <family val="2"/>
        <charset val="204"/>
        <scheme val="minor"/>
      </rPr>
      <t>сл</t>
    </r>
  </si>
  <si>
    <r>
      <t>S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</si>
  <si>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t>S, м (МНК)</t>
  </si>
  <si>
    <t>ΔS (МНК)</t>
  </si>
  <si>
    <r>
      <t>S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=1.020952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</si>
</sst>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ont="1" applyFill="1"/>
    <xf numFmtId="17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240398075240595E-2"/>
                  <c:y val="0.47441771833315355"/>
                </c:manualLayout>
              </c:layout>
              <c:numFmt formatCode="General" sourceLinked="0"/>
            </c:trendlineLbl>
          </c:trendline>
          <c:xVal>
            <c:numRef>
              <c:f>Лист1!$B$2:$B$7</c:f>
              <c:numCache>
                <c:formatCode>General</c:formatCode>
                <c:ptCount val="6"/>
                <c:pt idx="0">
                  <c:v>5.9259259259259256E-3</c:v>
                </c:pt>
                <c:pt idx="1">
                  <c:v>7.4074074074074077E-3</c:v>
                </c:pt>
                <c:pt idx="2">
                  <c:v>8.8888888888888889E-3</c:v>
                </c:pt>
                <c:pt idx="3">
                  <c:v>1.037037037037037E-2</c:v>
                </c:pt>
                <c:pt idx="4">
                  <c:v>1.1851851851851851E-2</c:v>
                </c:pt>
                <c:pt idx="5">
                  <c:v>1.3333333333333334E-2</c:v>
                </c:pt>
              </c:numCache>
            </c:numRef>
          </c:xVal>
          <c:yVal>
            <c:numRef>
              <c:f>Лист1!$D$2:$D$7</c:f>
              <c:numCache>
                <c:formatCode>General</c:formatCode>
                <c:ptCount val="6"/>
                <c:pt idx="0">
                  <c:v>3.05</c:v>
                </c:pt>
                <c:pt idx="1">
                  <c:v>3.48</c:v>
                </c:pt>
                <c:pt idx="2">
                  <c:v>4.0199999999999996</c:v>
                </c:pt>
                <c:pt idx="3">
                  <c:v>4.47</c:v>
                </c:pt>
                <c:pt idx="4">
                  <c:v>5.03</c:v>
                </c:pt>
                <c:pt idx="5">
                  <c:v>5.52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B-42D1-84D9-703C51458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37664"/>
        <c:axId val="44564480"/>
      </c:scatterChart>
      <c:valAx>
        <c:axId val="134337664"/>
        <c:scaling>
          <c:orientation val="minMax"/>
          <c:min val="4.000000000000001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ru-RU"/>
                  <a:t>, с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64480"/>
        <c:crosses val="autoZero"/>
        <c:crossBetween val="midCat"/>
      </c:valAx>
      <c:valAx>
        <c:axId val="44564480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S, </a:t>
                </a:r>
                <a:r>
                  <a:rPr lang="ru-RU"/>
                  <a:t>м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33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S=S(t)</a:t>
            </a:r>
            <a:r>
              <a:rPr lang="en-US" sz="1200" baseline="0"/>
              <a:t> </a:t>
            </a:r>
            <a:r>
              <a:rPr lang="ru-RU" sz="1200" baseline="0"/>
              <a:t>методом наименьших квадратов</a:t>
            </a:r>
            <a:endParaRPr lang="ru-RU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3659448818897639"/>
                  <c:y val="-1.5479367162438029E-2"/>
                </c:manualLayout>
              </c:layout>
              <c:numFmt formatCode="General" sourceLinked="0"/>
            </c:trendlineLbl>
          </c:trendline>
          <c:xVal>
            <c:numRef>
              <c:f>Лист1!$B$2:$B$7</c:f>
              <c:numCache>
                <c:formatCode>General</c:formatCode>
                <c:ptCount val="6"/>
                <c:pt idx="0">
                  <c:v>5.9259259259259256E-3</c:v>
                </c:pt>
                <c:pt idx="1">
                  <c:v>7.4074074074074077E-3</c:v>
                </c:pt>
                <c:pt idx="2">
                  <c:v>8.8888888888888889E-3</c:v>
                </c:pt>
                <c:pt idx="3">
                  <c:v>1.037037037037037E-2</c:v>
                </c:pt>
                <c:pt idx="4">
                  <c:v>1.1851851851851851E-2</c:v>
                </c:pt>
                <c:pt idx="5">
                  <c:v>1.3333333333333334E-2</c:v>
                </c:pt>
              </c:numCache>
            </c:numRef>
          </c:xVal>
          <c:yVal>
            <c:numRef>
              <c:f>Лист1!$M$2:$M$7</c:f>
              <c:numCache>
                <c:formatCode>General</c:formatCode>
                <c:ptCount val="6"/>
                <c:pt idx="0">
                  <c:v>3.0152380952380939</c:v>
                </c:pt>
                <c:pt idx="1">
                  <c:v>3.513809523809523</c:v>
                </c:pt>
                <c:pt idx="2">
                  <c:v>4.0123809523809522</c:v>
                </c:pt>
                <c:pt idx="3">
                  <c:v>4.5109523809523813</c:v>
                </c:pt>
                <c:pt idx="4">
                  <c:v>5.0095238095238104</c:v>
                </c:pt>
                <c:pt idx="5">
                  <c:v>5.5080952380952404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1C-4FF8-93E1-B101B789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98880"/>
        <c:axId val="83497344"/>
      </c:scatterChart>
      <c:valAx>
        <c:axId val="83498880"/>
        <c:scaling>
          <c:orientation val="minMax"/>
          <c:min val="4.000000000000001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t,c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497344"/>
        <c:crosses val="autoZero"/>
        <c:crossBetween val="midCat"/>
      </c:valAx>
      <c:valAx>
        <c:axId val="83497344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S, </a:t>
                </a:r>
                <a:r>
                  <a:rPr lang="ru-RU"/>
                  <a:t>м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498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15</xdr:row>
      <xdr:rowOff>61912</xdr:rowOff>
    </xdr:from>
    <xdr:to>
      <xdr:col>8</xdr:col>
      <xdr:colOff>57150</xdr:colOff>
      <xdr:row>29</xdr:row>
      <xdr:rowOff>176212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15</xdr:row>
      <xdr:rowOff>90487</xdr:rowOff>
    </xdr:from>
    <xdr:to>
      <xdr:col>16</xdr:col>
      <xdr:colOff>180975</xdr:colOff>
      <xdr:row>29</xdr:row>
      <xdr:rowOff>166687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H7" sqref="H7"/>
    </sheetView>
  </sheetViews>
  <sheetFormatPr defaultRowHeight="15" x14ac:dyDescent="0.25"/>
  <cols>
    <col min="1" max="1" width="11.85546875" customWidth="1"/>
    <col min="3" max="3" width="12" bestFit="1" customWidth="1"/>
    <col min="7" max="7" width="10.5703125" customWidth="1"/>
    <col min="13" max="13" width="11.5703125" customWidth="1"/>
  </cols>
  <sheetData>
    <row r="1" spans="1:14" ht="18.75" x14ac:dyDescent="0.3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/>
      <c r="G1" s="1" t="s">
        <v>6</v>
      </c>
      <c r="H1" s="1" t="s">
        <v>7</v>
      </c>
      <c r="I1" s="1" t="s">
        <v>11</v>
      </c>
      <c r="J1" s="2" t="s">
        <v>10</v>
      </c>
      <c r="K1" s="2" t="s">
        <v>12</v>
      </c>
      <c r="M1" s="2" t="s">
        <v>15</v>
      </c>
      <c r="N1" s="2" t="s">
        <v>16</v>
      </c>
    </row>
    <row r="2" spans="1:14" x14ac:dyDescent="0.25">
      <c r="A2">
        <v>4</v>
      </c>
      <c r="B2">
        <f>A2/675</f>
        <v>5.9259259259259256E-3</v>
      </c>
      <c r="C2">
        <f>B2^2</f>
        <v>3.5116598079561042E-5</v>
      </c>
      <c r="D2">
        <v>3.05</v>
      </c>
      <c r="E2">
        <f>B2*D2</f>
        <v>1.8074074074074072E-2</v>
      </c>
      <c r="G2">
        <f>D2-1.020952</f>
        <v>2.0290479999999995</v>
      </c>
      <c r="H2">
        <f>G2/B2</f>
        <v>342.40184999999991</v>
      </c>
      <c r="I2">
        <f>AVERAGE(H2:H9)</f>
        <v>336.67417107142853</v>
      </c>
      <c r="J2">
        <f>$I$2-H2</f>
        <v>-5.7276789285713789</v>
      </c>
      <c r="K2">
        <f>J2^2</f>
        <v>32.806305908800582</v>
      </c>
      <c r="M2">
        <f>$B$13+$A$13*B2</f>
        <v>3.0152380952380939</v>
      </c>
      <c r="N2">
        <f>ABS(D2-M2)</f>
        <v>3.4761904761905882E-2</v>
      </c>
    </row>
    <row r="3" spans="1:14" x14ac:dyDescent="0.25">
      <c r="A3">
        <v>5</v>
      </c>
      <c r="B3">
        <f t="shared" ref="B3:B9" si="0">A3/675</f>
        <v>7.4074074074074077E-3</v>
      </c>
      <c r="C3">
        <f t="shared" ref="C3:C9" si="1">B3^2</f>
        <v>5.4869684499314136E-5</v>
      </c>
      <c r="D3">
        <v>3.48</v>
      </c>
      <c r="E3">
        <f>B3*D3</f>
        <v>2.5777777777777778E-2</v>
      </c>
      <c r="G3">
        <f t="shared" ref="G3:G7" si="2">D3-1.020952</f>
        <v>2.4590480000000001</v>
      </c>
      <c r="H3">
        <f t="shared" ref="H3:H9" si="3">G3/B3</f>
        <v>331.97147999999999</v>
      </c>
      <c r="J3">
        <f t="shared" ref="J3:J9" si="4">$I$2-H3</f>
        <v>4.7026910714285464</v>
      </c>
      <c r="K3">
        <f t="shared" ref="K3:K9" si="5">J3^2</f>
        <v>22.115303313293769</v>
      </c>
      <c r="M3">
        <f t="shared" ref="M3:M7" si="6">$B$13+$A$13*B3</f>
        <v>3.513809523809523</v>
      </c>
      <c r="N3">
        <f t="shared" ref="N3:N7" si="7">ABS(D3-M3)</f>
        <v>3.3809523809523068E-2</v>
      </c>
    </row>
    <row r="4" spans="1:14" x14ac:dyDescent="0.25">
      <c r="A4">
        <v>6</v>
      </c>
      <c r="B4">
        <f t="shared" si="0"/>
        <v>8.8888888888888889E-3</v>
      </c>
      <c r="C4">
        <f t="shared" si="1"/>
        <v>7.9012345679012346E-5</v>
      </c>
      <c r="D4">
        <v>4.0199999999999996</v>
      </c>
      <c r="E4">
        <f>B4*D4</f>
        <v>3.5733333333333332E-2</v>
      </c>
      <c r="G4">
        <f t="shared" si="2"/>
        <v>2.9990479999999993</v>
      </c>
      <c r="H4">
        <f t="shared" si="3"/>
        <v>337.39289999999994</v>
      </c>
      <c r="J4">
        <f t="shared" si="4"/>
        <v>-0.71872892857140869</v>
      </c>
      <c r="K4">
        <f t="shared" si="5"/>
        <v>0.51657127276540504</v>
      </c>
      <c r="M4">
        <f t="shared" si="6"/>
        <v>4.0123809523809522</v>
      </c>
      <c r="N4">
        <f t="shared" si="7"/>
        <v>7.6190476190474143E-3</v>
      </c>
    </row>
    <row r="5" spans="1:14" x14ac:dyDescent="0.25">
      <c r="A5">
        <v>7</v>
      </c>
      <c r="B5">
        <f t="shared" si="0"/>
        <v>1.037037037037037E-2</v>
      </c>
      <c r="C5">
        <f t="shared" si="1"/>
        <v>1.0754458161865569E-4</v>
      </c>
      <c r="D5">
        <v>4.47</v>
      </c>
      <c r="E5">
        <f>B5*D5</f>
        <v>4.6355555555555553E-2</v>
      </c>
      <c r="G5">
        <f t="shared" si="2"/>
        <v>3.4490479999999994</v>
      </c>
      <c r="H5">
        <f t="shared" si="3"/>
        <v>332.58677142857141</v>
      </c>
      <c r="J5">
        <f t="shared" si="4"/>
        <v>4.0873996428571218</v>
      </c>
      <c r="K5">
        <f t="shared" si="5"/>
        <v>16.706835840428525</v>
      </c>
      <c r="M5">
        <f t="shared" si="6"/>
        <v>4.5109523809523813</v>
      </c>
      <c r="N5">
        <f t="shared" si="7"/>
        <v>4.0952380952381517E-2</v>
      </c>
    </row>
    <row r="6" spans="1:14" x14ac:dyDescent="0.25">
      <c r="A6">
        <v>8</v>
      </c>
      <c r="B6">
        <f t="shared" si="0"/>
        <v>1.1851851851851851E-2</v>
      </c>
      <c r="C6">
        <f t="shared" si="1"/>
        <v>1.4046639231824417E-4</v>
      </c>
      <c r="D6">
        <v>5.03</v>
      </c>
      <c r="E6">
        <f>B6*D6</f>
        <v>5.9614814814814815E-2</v>
      </c>
      <c r="G6">
        <f t="shared" si="2"/>
        <v>4.0090479999999999</v>
      </c>
      <c r="H6">
        <f t="shared" si="3"/>
        <v>338.26342499999998</v>
      </c>
      <c r="J6">
        <f t="shared" si="4"/>
        <v>-1.589253928571452</v>
      </c>
      <c r="K6">
        <f t="shared" si="5"/>
        <v>2.5257280494797936</v>
      </c>
      <c r="M6">
        <f t="shared" si="6"/>
        <v>5.0095238095238104</v>
      </c>
      <c r="N6">
        <f t="shared" si="7"/>
        <v>2.0476190476189871E-2</v>
      </c>
    </row>
    <row r="7" spans="1:14" x14ac:dyDescent="0.25">
      <c r="A7">
        <v>9</v>
      </c>
      <c r="B7">
        <f>A7/675</f>
        <v>1.3333333333333334E-2</v>
      </c>
      <c r="C7">
        <f t="shared" si="1"/>
        <v>1.7777777777777781E-4</v>
      </c>
      <c r="D7">
        <v>5.52</v>
      </c>
      <c r="E7">
        <f>B7*D7</f>
        <v>7.3599999999999999E-2</v>
      </c>
      <c r="G7">
        <f t="shared" si="2"/>
        <v>4.4990479999999993</v>
      </c>
      <c r="H7">
        <f t="shared" si="3"/>
        <v>337.4285999999999</v>
      </c>
      <c r="J7">
        <f t="shared" si="4"/>
        <v>-0.75442892857137167</v>
      </c>
      <c r="K7">
        <f t="shared" si="5"/>
        <v>0.56916300826534783</v>
      </c>
      <c r="M7">
        <f t="shared" si="6"/>
        <v>5.5080952380952404</v>
      </c>
      <c r="N7">
        <f t="shared" si="7"/>
        <v>1.1904761904759198E-2</v>
      </c>
    </row>
    <row r="10" spans="1:14" ht="18" x14ac:dyDescent="0.35">
      <c r="A10" s="1" t="s">
        <v>1</v>
      </c>
      <c r="B10">
        <f>SUM(B2:B7)</f>
        <v>5.7777777777777775E-2</v>
      </c>
      <c r="C10">
        <f>SUM(C2:C7)</f>
        <v>5.9478737997256518E-4</v>
      </c>
      <c r="D10">
        <f>SUM(D2:D7)</f>
        <v>25.57</v>
      </c>
      <c r="E10">
        <f>SUM(E2:E7)</f>
        <v>0.25915555555555558</v>
      </c>
      <c r="G10" s="1" t="s">
        <v>17</v>
      </c>
      <c r="J10" s="1" t="s">
        <v>14</v>
      </c>
      <c r="K10">
        <f>SQRT((K2+K3+K4+K5+K6+K7)/30)</f>
        <v>1.5836656569810164</v>
      </c>
    </row>
    <row r="11" spans="1:14" ht="18" x14ac:dyDescent="0.35">
      <c r="J11" s="2" t="s">
        <v>13</v>
      </c>
      <c r="K11">
        <f>K10*2.571</f>
        <v>4.0716044040981929</v>
      </c>
    </row>
    <row r="12" spans="1:14" x14ac:dyDescent="0.25">
      <c r="A12" s="1" t="s">
        <v>8</v>
      </c>
      <c r="B12" s="1" t="s">
        <v>9</v>
      </c>
    </row>
    <row r="13" spans="1:14" x14ac:dyDescent="0.25">
      <c r="A13">
        <f>(6*E10-B10*D10)/(6*C10-B10^2)</f>
        <v>336.53571428571468</v>
      </c>
      <c r="B13">
        <f>(D10-A13*B10)/6</f>
        <v>1.0209523809523773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selection sqref="A1:Q40"/>
    </sheetView>
  </sheetViews>
  <sheetFormatPr defaultRowHeight="15" x14ac:dyDescent="0.25"/>
  <cols>
    <col min="13" max="13" width="11" bestFit="1" customWidth="1"/>
  </cols>
  <sheetData>
    <row r="1" spans="1:13" x14ac:dyDescent="0.25">
      <c r="A1">
        <v>1.43</v>
      </c>
      <c r="B1">
        <v>1.45</v>
      </c>
      <c r="C1">
        <v>1.4</v>
      </c>
      <c r="D1">
        <v>1.42</v>
      </c>
      <c r="E1">
        <v>1.3</v>
      </c>
      <c r="F1">
        <v>1.48</v>
      </c>
      <c r="G1">
        <v>1.5</v>
      </c>
      <c r="H1">
        <v>1.6</v>
      </c>
      <c r="I1">
        <f>AVERAGE(A1:H1)</f>
        <v>1.4474999999999998</v>
      </c>
    </row>
    <row r="2" spans="1:13" x14ac:dyDescent="0.25">
      <c r="A2">
        <f>$I$1-A1</f>
        <v>1.7499999999999849E-2</v>
      </c>
      <c r="B2">
        <f>$I$1-B1</f>
        <v>-2.5000000000001688E-3</v>
      </c>
      <c r="C2">
        <f t="shared" ref="C2:H2" si="0">$I$1-C1</f>
        <v>4.7499999999999876E-2</v>
      </c>
      <c r="D2">
        <f t="shared" si="0"/>
        <v>2.7499999999999858E-2</v>
      </c>
      <c r="E2">
        <f t="shared" si="0"/>
        <v>0.14749999999999974</v>
      </c>
      <c r="F2">
        <f t="shared" si="0"/>
        <v>-3.2500000000000195E-2</v>
      </c>
      <c r="G2">
        <f t="shared" si="0"/>
        <v>-5.2500000000000213E-2</v>
      </c>
      <c r="H2">
        <f t="shared" si="0"/>
        <v>-0.1525000000000003</v>
      </c>
    </row>
    <row r="3" spans="1:13" x14ac:dyDescent="0.25">
      <c r="A3">
        <f>A2^2</f>
        <v>3.0624999999999473E-4</v>
      </c>
      <c r="B3">
        <f t="shared" ref="B3:H3" si="1">B2^2</f>
        <v>6.2500000000008439E-6</v>
      </c>
      <c r="C3">
        <f t="shared" si="1"/>
        <v>2.2562499999999883E-3</v>
      </c>
      <c r="D3">
        <f t="shared" si="1"/>
        <v>7.5624999999999217E-4</v>
      </c>
      <c r="E3">
        <f t="shared" si="1"/>
        <v>2.1756249999999925E-2</v>
      </c>
      <c r="F3">
        <f t="shared" si="1"/>
        <v>1.0562500000000127E-3</v>
      </c>
      <c r="G3">
        <f t="shared" si="1"/>
        <v>2.7562500000000226E-3</v>
      </c>
      <c r="H3">
        <f t="shared" si="1"/>
        <v>2.3256250000000093E-2</v>
      </c>
      <c r="I3">
        <f>SQRT((A3+B3+C3+D3+E3+F3+G3+H3)/56)</f>
        <v>3.0516389039334266E-2</v>
      </c>
      <c r="J3">
        <f>I3*2.365</f>
        <v>7.2171260078025545E-2</v>
      </c>
    </row>
    <row r="6" spans="1:13" x14ac:dyDescent="0.25">
      <c r="A6">
        <v>167</v>
      </c>
      <c r="B6">
        <v>175</v>
      </c>
      <c r="C6">
        <v>172</v>
      </c>
      <c r="D6">
        <v>161</v>
      </c>
      <c r="E6">
        <v>170</v>
      </c>
      <c r="F6">
        <v>177</v>
      </c>
      <c r="G6">
        <v>174</v>
      </c>
      <c r="H6">
        <f>AVERAGE(A6:G6)</f>
        <v>170.85714285714286</v>
      </c>
    </row>
    <row r="7" spans="1:13" x14ac:dyDescent="0.25">
      <c r="A7">
        <f>($H$6-A6)^2</f>
        <v>14.877551020408195</v>
      </c>
      <c r="B7">
        <f t="shared" ref="B7:G7" si="2">($H$6-B6)^2</f>
        <v>17.163265306122415</v>
      </c>
      <c r="C7">
        <f t="shared" si="2"/>
        <v>1.3061224489795826</v>
      </c>
      <c r="D7">
        <f t="shared" si="2"/>
        <v>97.163265306122526</v>
      </c>
      <c r="E7">
        <f t="shared" si="2"/>
        <v>0.73469387755102733</v>
      </c>
      <c r="F7">
        <f t="shared" si="2"/>
        <v>37.734693877550967</v>
      </c>
      <c r="G7">
        <f t="shared" si="2"/>
        <v>9.8775510204081378</v>
      </c>
      <c r="H7">
        <f>SQRT((A7+B7+C7+D7+E7+F7+G7)/42)</f>
        <v>2.0636141600019475</v>
      </c>
      <c r="I7">
        <f>H7*2.447</f>
        <v>5.0496638495247659</v>
      </c>
      <c r="J7">
        <f>2*2/3</f>
        <v>1.3333333333333333</v>
      </c>
    </row>
    <row r="9" spans="1:13" x14ac:dyDescent="0.25">
      <c r="I9">
        <f>SQRT(I7^2+J7^2)</f>
        <v>5.2227275221836971</v>
      </c>
    </row>
    <row r="12" spans="1:13" x14ac:dyDescent="0.25">
      <c r="A12">
        <v>195</v>
      </c>
      <c r="B12">
        <v>205</v>
      </c>
      <c r="C12">
        <v>210</v>
      </c>
      <c r="D12">
        <v>200</v>
      </c>
      <c r="E12">
        <v>205</v>
      </c>
      <c r="F12">
        <v>200</v>
      </c>
      <c r="G12">
        <v>200</v>
      </c>
      <c r="H12">
        <v>205</v>
      </c>
      <c r="I12">
        <f>AVERAGE(A12:H12)</f>
        <v>202.5</v>
      </c>
      <c r="L12">
        <f>SQRT(I12*9.8*2)</f>
        <v>63.000000000000007</v>
      </c>
      <c r="M12">
        <f>L12*26.7*0.7*54</f>
        <v>63583.380000000005</v>
      </c>
    </row>
    <row r="13" spans="1:13" x14ac:dyDescent="0.25">
      <c r="A13">
        <f>($I$12-A12)^2</f>
        <v>56.25</v>
      </c>
      <c r="B13">
        <f t="shared" ref="B13:H13" si="3">($I$12-B12)^2</f>
        <v>6.25</v>
      </c>
      <c r="C13">
        <f t="shared" si="3"/>
        <v>56.25</v>
      </c>
      <c r="D13">
        <f t="shared" si="3"/>
        <v>6.25</v>
      </c>
      <c r="E13">
        <f t="shared" si="3"/>
        <v>6.25</v>
      </c>
      <c r="F13">
        <f t="shared" si="3"/>
        <v>6.25</v>
      </c>
      <c r="G13">
        <f t="shared" si="3"/>
        <v>6.25</v>
      </c>
      <c r="H13">
        <f t="shared" si="3"/>
        <v>6.25</v>
      </c>
      <c r="I13">
        <f>SQRT((A13+B13+C13+D13+E13+F13+G13+H13)/56)</f>
        <v>1.6366341767699428</v>
      </c>
      <c r="J13">
        <f>I13*3.499</f>
        <v>5.7265829845180303</v>
      </c>
      <c r="L13">
        <f>5*2/3</f>
        <v>3.3333333333333335</v>
      </c>
    </row>
    <row r="14" spans="1:13" x14ac:dyDescent="0.25">
      <c r="J14">
        <f>SQRT(J13^2+L13^2)</f>
        <v>6.6260745384943069</v>
      </c>
    </row>
    <row r="15" spans="1:13" x14ac:dyDescent="0.25">
      <c r="J15">
        <f>J14/I12</f>
        <v>3.2721355745650896E-2</v>
      </c>
    </row>
    <row r="17" spans="1:16" x14ac:dyDescent="0.25">
      <c r="J17" s="3"/>
      <c r="K17">
        <f>10/54</f>
        <v>0.18518518518518517</v>
      </c>
    </row>
    <row r="18" spans="1:16" x14ac:dyDescent="0.25">
      <c r="K18">
        <f>K17^2</f>
        <v>3.4293552812071325E-2</v>
      </c>
      <c r="M18">
        <f>J15/2</f>
        <v>1.6360677872825448E-2</v>
      </c>
      <c r="N18">
        <f>M18^2</f>
        <v>2.6767178045836024E-4</v>
      </c>
    </row>
    <row r="20" spans="1:16" x14ac:dyDescent="0.25">
      <c r="K20">
        <f>SQRT(K18+N18)</f>
        <v>0.18590649421827546</v>
      </c>
    </row>
    <row r="21" spans="1:16" x14ac:dyDescent="0.25">
      <c r="K21">
        <f>K20*M12</f>
        <v>11820.563266348412</v>
      </c>
    </row>
    <row r="24" spans="1:16" x14ac:dyDescent="0.25">
      <c r="A24">
        <v>1545</v>
      </c>
      <c r="B24">
        <v>1550</v>
      </c>
      <c r="C24">
        <v>1550</v>
      </c>
      <c r="D24">
        <v>1545</v>
      </c>
      <c r="E24">
        <v>1557</v>
      </c>
      <c r="F24">
        <v>1550</v>
      </c>
      <c r="G24">
        <v>1552</v>
      </c>
      <c r="H24">
        <v>1550</v>
      </c>
      <c r="I24">
        <f>AVERAGE(A24:H24)</f>
        <v>1549.875</v>
      </c>
    </row>
    <row r="25" spans="1:16" x14ac:dyDescent="0.25">
      <c r="A25">
        <f t="shared" ref="A25:H25" si="4">$I$24-A24</f>
        <v>4.875</v>
      </c>
      <c r="B25">
        <f t="shared" si="4"/>
        <v>-0.125</v>
      </c>
      <c r="C25">
        <f t="shared" si="4"/>
        <v>-0.125</v>
      </c>
      <c r="D25">
        <f t="shared" si="4"/>
        <v>4.875</v>
      </c>
      <c r="E25">
        <f t="shared" si="4"/>
        <v>-7.125</v>
      </c>
      <c r="F25">
        <f t="shared" si="4"/>
        <v>-0.125</v>
      </c>
      <c r="G25">
        <f t="shared" si="4"/>
        <v>-2.125</v>
      </c>
      <c r="H25">
        <f t="shared" si="4"/>
        <v>-0.125</v>
      </c>
    </row>
    <row r="26" spans="1:16" x14ac:dyDescent="0.25">
      <c r="A26">
        <f>A25^2</f>
        <v>23.765625</v>
      </c>
      <c r="B26">
        <f t="shared" ref="B26:F26" si="5">B25^2</f>
        <v>1.5625E-2</v>
      </c>
      <c r="C26">
        <f t="shared" si="5"/>
        <v>1.5625E-2</v>
      </c>
      <c r="D26">
        <f t="shared" si="5"/>
        <v>23.765625</v>
      </c>
      <c r="E26">
        <f t="shared" si="5"/>
        <v>50.765625</v>
      </c>
      <c r="F26">
        <f t="shared" si="5"/>
        <v>1.5625E-2</v>
      </c>
      <c r="G26">
        <f>G25^2</f>
        <v>4.515625</v>
      </c>
      <c r="H26">
        <f>H25^2</f>
        <v>1.5625E-2</v>
      </c>
      <c r="I26">
        <f>SQRT((A26+B26+C26+D26+E26+G26+H26)/42)</f>
        <v>1.564938573265813</v>
      </c>
      <c r="J26">
        <f>I26*5.405</f>
        <v>8.4584929885017193</v>
      </c>
      <c r="K26">
        <f>2*2/3</f>
        <v>1.3333333333333333</v>
      </c>
    </row>
    <row r="27" spans="1:16" x14ac:dyDescent="0.25">
      <c r="K27">
        <f>SQRT(J26^2+K26^2)</f>
        <v>8.562936494819434</v>
      </c>
    </row>
    <row r="29" spans="1:16" x14ac:dyDescent="0.25">
      <c r="A29">
        <v>1240</v>
      </c>
      <c r="B29">
        <v>1245</v>
      </c>
      <c r="C29">
        <v>1250</v>
      </c>
      <c r="D29">
        <v>1255</v>
      </c>
      <c r="E29">
        <v>1250</v>
      </c>
      <c r="F29">
        <v>1250</v>
      </c>
      <c r="G29">
        <v>1255</v>
      </c>
      <c r="H29">
        <v>1245</v>
      </c>
      <c r="I29">
        <f>AVERAGE(A29:H29)</f>
        <v>1248.75</v>
      </c>
    </row>
    <row r="30" spans="1:16" x14ac:dyDescent="0.25">
      <c r="A30">
        <f>$I$29-A29</f>
        <v>8.75</v>
      </c>
      <c r="B30">
        <f t="shared" ref="B30:H30" si="6">$I$29-B29</f>
        <v>3.75</v>
      </c>
      <c r="C30">
        <f t="shared" si="6"/>
        <v>-1.25</v>
      </c>
      <c r="D30">
        <f t="shared" si="6"/>
        <v>-6.25</v>
      </c>
      <c r="E30">
        <f t="shared" si="6"/>
        <v>-1.25</v>
      </c>
      <c r="F30">
        <f t="shared" si="6"/>
        <v>-1.25</v>
      </c>
      <c r="G30">
        <f t="shared" si="6"/>
        <v>-6.25</v>
      </c>
      <c r="H30">
        <f t="shared" si="6"/>
        <v>3.75</v>
      </c>
    </row>
    <row r="31" spans="1:16" x14ac:dyDescent="0.25">
      <c r="A31">
        <f>A30^2</f>
        <v>76.5625</v>
      </c>
      <c r="B31">
        <f t="shared" ref="B31:H31" si="7">B30^2</f>
        <v>14.0625</v>
      </c>
      <c r="C31">
        <f t="shared" si="7"/>
        <v>1.5625</v>
      </c>
      <c r="D31">
        <f t="shared" si="7"/>
        <v>39.0625</v>
      </c>
      <c r="E31">
        <f t="shared" si="7"/>
        <v>1.5625</v>
      </c>
      <c r="F31">
        <f t="shared" si="7"/>
        <v>1.5625</v>
      </c>
      <c r="G31">
        <f t="shared" si="7"/>
        <v>39.0625</v>
      </c>
      <c r="H31">
        <f t="shared" si="7"/>
        <v>14.0625</v>
      </c>
      <c r="I31">
        <f>SQRT((A31+B31+C31+D31+E31+F31+G31+H31)/56)</f>
        <v>1.8298126367784997</v>
      </c>
      <c r="J31">
        <f>I31*5.405</f>
        <v>9.8901373017877905</v>
      </c>
      <c r="K31">
        <f>2*2/3</f>
        <v>1.3333333333333333</v>
      </c>
      <c r="M31">
        <f>J31/I29</f>
        <v>7.9200298713015347E-3</v>
      </c>
    </row>
    <row r="32" spans="1:16" x14ac:dyDescent="0.25">
      <c r="O32">
        <f>SQRT(M31^2+(2*M34)^2)</f>
        <v>1.2332656869182272E-2</v>
      </c>
      <c r="P32">
        <f>O32*M36</f>
        <v>29039902.39344959</v>
      </c>
    </row>
    <row r="33" spans="1:13" x14ac:dyDescent="0.25">
      <c r="J33">
        <f>SQRT(J31^2+K31^2)</f>
        <v>9.9796088914341752</v>
      </c>
    </row>
    <row r="34" spans="1:13" x14ac:dyDescent="0.25">
      <c r="A34">
        <v>1550</v>
      </c>
      <c r="B34">
        <v>1545</v>
      </c>
      <c r="C34">
        <v>1550</v>
      </c>
      <c r="D34">
        <v>1545</v>
      </c>
      <c r="E34">
        <v>1557</v>
      </c>
      <c r="F34">
        <v>1550</v>
      </c>
      <c r="G34">
        <v>1552</v>
      </c>
      <c r="H34">
        <v>1550</v>
      </c>
      <c r="I34">
        <f>AVERAGE(A34:H34)</f>
        <v>1549.875</v>
      </c>
      <c r="M34">
        <f>J36/I34</f>
        <v>4.7267206467772162E-3</v>
      </c>
    </row>
    <row r="35" spans="1:13" x14ac:dyDescent="0.25">
      <c r="A35" s="4">
        <f>$I$34-A34</f>
        <v>-0.125</v>
      </c>
      <c r="B35" s="4">
        <f t="shared" ref="B35:H35" si="8">$I$34-B34</f>
        <v>4.875</v>
      </c>
      <c r="C35" s="4">
        <f t="shared" si="8"/>
        <v>-0.125</v>
      </c>
      <c r="D35" s="4">
        <f t="shared" si="8"/>
        <v>4.875</v>
      </c>
      <c r="E35" s="4">
        <f t="shared" si="8"/>
        <v>-7.125</v>
      </c>
      <c r="F35" s="4">
        <f t="shared" si="8"/>
        <v>-0.125</v>
      </c>
      <c r="G35" s="4">
        <f t="shared" si="8"/>
        <v>-2.125</v>
      </c>
      <c r="H35" s="4">
        <f t="shared" si="8"/>
        <v>-0.125</v>
      </c>
    </row>
    <row r="36" spans="1:13" x14ac:dyDescent="0.25">
      <c r="A36" s="4">
        <f>A35^2</f>
        <v>1.5625E-2</v>
      </c>
      <c r="B36" s="4">
        <f t="shared" ref="B36:H36" si="9">B35^2</f>
        <v>23.765625</v>
      </c>
      <c r="C36" s="4">
        <f t="shared" si="9"/>
        <v>1.5625E-2</v>
      </c>
      <c r="D36" s="4">
        <f t="shared" si="9"/>
        <v>23.765625</v>
      </c>
      <c r="E36" s="4">
        <f t="shared" si="9"/>
        <v>50.765625</v>
      </c>
      <c r="F36" s="4">
        <f t="shared" si="9"/>
        <v>1.5625E-2</v>
      </c>
      <c r="G36" s="4">
        <f t="shared" si="9"/>
        <v>4.515625</v>
      </c>
      <c r="H36" s="4">
        <f t="shared" si="9"/>
        <v>1.5625E-2</v>
      </c>
      <c r="I36">
        <f>SQRT((A36+B36+C36+D36+E36+F36+G36+H36)/56)</f>
        <v>1.3553794935104233</v>
      </c>
      <c r="J36" s="4">
        <f>I36*5.405</f>
        <v>7.3258261624238381</v>
      </c>
      <c r="K36">
        <f>2*2/3</f>
        <v>1.3333333333333333</v>
      </c>
      <c r="M36">
        <f>3.14*I34^2*I29/4</f>
        <v>2354715833.0510745</v>
      </c>
    </row>
    <row r="38" spans="1:13" x14ac:dyDescent="0.25">
      <c r="J38">
        <f>SQRT(J36^2+K36^2)</f>
        <v>7.446173966530151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Изя</cp:lastModifiedBy>
  <dcterms:created xsi:type="dcterms:W3CDTF">2017-07-25T18:34:46Z</dcterms:created>
  <dcterms:modified xsi:type="dcterms:W3CDTF">2018-09-12T11:16:27Z</dcterms:modified>
</cp:coreProperties>
</file>