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475" windowHeight="8730" tabRatio="886" activeTab="0"/>
  </bookViews>
  <sheets>
    <sheet name="Лист1 (3)" sheetId="1" r:id="rId1"/>
    <sheet name="баланс" sheetId="2" r:id="rId2"/>
    <sheet name="ф2" sheetId="3" r:id="rId3"/>
    <sheet name="баланс структура" sheetId="4" r:id="rId4"/>
    <sheet name="бс" sheetId="5" r:id="rId5"/>
    <sheet name="Баланс ликвидность" sheetId="6" r:id="rId6"/>
    <sheet name="3-х факторная модель фин.устойч" sheetId="7" r:id="rId7"/>
  </sheets>
  <externalReferences>
    <externalReference r:id="rId10"/>
    <externalReference r:id="rId11"/>
  </externalReferences>
  <definedNames>
    <definedName name="_xlfn.STDEV.S" hidden="1">#NAME?</definedName>
    <definedName name="a">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а">#REF!</definedName>
    <definedName name="б">#REF!</definedName>
    <definedName name="в">#REF!</definedName>
    <definedName name="г">#REF!</definedName>
    <definedName name="гр3_111">'[1]ф1 инвалюта'!$C$8</definedName>
    <definedName name="гр3_220">'[1]ф1 инвалюта'!$C$35</definedName>
    <definedName name="гр3_290">'[1]ф1 инвалюта'!$C$59</definedName>
    <definedName name="гр3_300">'[1]ф1 инвалюта'!$C$60</definedName>
    <definedName name="гр3_590">'[1]ф1 инвалюта'!$G$24</definedName>
    <definedName name="гр3_640">'[1]ф1 инвалюта'!$G$39</definedName>
    <definedName name="гр3_650">'[1]ф1 инвалюта'!$G$40</definedName>
    <definedName name="гр3_660">'[1]ф1 инвалюта'!$G$41</definedName>
    <definedName name="гр3_690">'[1]ф1 инвалюта'!$G$42</definedName>
    <definedName name="гр4_111">'[1]ф1 инвалюта'!$D$8</definedName>
    <definedName name="гр4_220">'[1]ф1 инвалюта'!$D$35</definedName>
    <definedName name="гр4_290">'[1]ф1 инвалюта'!$D$59</definedName>
    <definedName name="гр4_300">'[1]ф1 инвалюта'!$D$60</definedName>
    <definedName name="гр4_590">'[1]ф1 инвалюта'!$H$24</definedName>
    <definedName name="гр4_640">'[1]ф1 инвалюта'!$H$39</definedName>
    <definedName name="гр4_650">'[1]ф1 инвалюта'!$H$40</definedName>
    <definedName name="гр4_660">'[1]ф1 инвалюта'!$H$41</definedName>
    <definedName name="гр4_690">'[1]ф1 инвалюта'!$H$42</definedName>
    <definedName name="д">#REF!</definedName>
    <definedName name="е">#REF!</definedName>
    <definedName name="ж">#REF!</definedName>
    <definedName name="з">#REF!</definedName>
    <definedName name="и">#REF!</definedName>
    <definedName name="к">#REF!</definedName>
    <definedName name="м">#REF!</definedName>
    <definedName name="р">#REF!</definedName>
    <definedName name="с">#REF!</definedName>
    <definedName name="т">#REF!</definedName>
  </definedNames>
  <calcPr fullCalcOnLoad="1"/>
</workbook>
</file>

<file path=xl/sharedStrings.xml><?xml version="1.0" encoding="utf-8"?>
<sst xmlns="http://schemas.openxmlformats.org/spreadsheetml/2006/main" count="334" uniqueCount="188">
  <si>
    <t>РАСЧЕТ СРЕДНЕГОДОВЫХ ПОКАЗАТЕЛЕЙ БАЛАНСА</t>
  </si>
  <si>
    <t>Основные средства</t>
  </si>
  <si>
    <t>6 = 4 - 3</t>
  </si>
  <si>
    <t>7 = 5 - 4</t>
  </si>
  <si>
    <t>8 = 4 / 3 * 100%</t>
  </si>
  <si>
    <t>9 = 5 / 4 * 100%</t>
  </si>
  <si>
    <t>10 = 6 / 3 * 100%</t>
  </si>
  <si>
    <t>11 = 7 / 4 * 100%</t>
  </si>
  <si>
    <t>абс.изменения</t>
  </si>
  <si>
    <t>темп роста, %</t>
  </si>
  <si>
    <t>темп прироста, %</t>
  </si>
  <si>
    <t>среднегодовое значение</t>
  </si>
  <si>
    <t>ИСХОДНЫЕ ДАННЫЕ</t>
  </si>
  <si>
    <t xml:space="preserve">Бухгалтерский баланс </t>
  </si>
  <si>
    <t>Наименование показателя</t>
  </si>
  <si>
    <t>Код строки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</si>
  <si>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</si>
  <si>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</si>
  <si>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</si>
  <si>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</si>
  <si>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</si>
  <si>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средства, в том числе незавершенное строительство, авансы и аккредитивы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</si>
  <si>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</si>
  <si>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</si>
  <si>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</si>
  <si>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</si>
  <si>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</si>
  <si>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</si>
  <si>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</si>
  <si>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</si>
  <si>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</si>
  <si>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</si>
  <si>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</si>
  <si>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</si>
  <si>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</si>
  <si>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 (актив)</t>
  </si>
  <si>
    <t>ПАССИВ</t>
  </si>
  <si>
    <t>III. КАПИТАЛ И РЕЗЕРВЫ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</si>
  <si>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</si>
  <si>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</si>
  <si>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</si>
  <si>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</si>
  <si>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</si>
  <si>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</si>
  <si>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 xml:space="preserve">   в том числе нераспределенная прибыль отчетного года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</si>
  <si>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</si>
  <si>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</si>
  <si>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</si>
  <si>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</si>
  <si>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</si>
  <si>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</si>
  <si>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</si>
  <si>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</si>
  <si>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</si>
  <si>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</si>
  <si>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</si>
  <si>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БАЛАНС (пассив)</t>
  </si>
  <si>
    <t>Обязательства</t>
  </si>
  <si>
    <t>Отчет о финнасовых результатах</t>
  </si>
  <si>
    <t>строка</t>
  </si>
  <si>
    <t xml:space="preserve">   Доходы и расходы по обычным видам деятельности</t>
  </si>
  <si>
    <t xml:space="preserve">Выручка </t>
  </si>
  <si>
    <t>Себестоимость продаж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</si>
  <si>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</si>
  <si>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</si>
  <si>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</si>
  <si>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</si>
  <si>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 xml:space="preserve">    Прочие доходы и расходы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</si>
  <si>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</si>
  <si>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</si>
  <si>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</si>
  <si>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</si>
  <si>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 расходы</t>
  </si>
  <si>
    <t xml:space="preserve">     Прибыль (убыток) до налогообложения</t>
  </si>
  <si>
    <t>Текущий налог на прибыль</t>
  </si>
  <si>
    <t>Изменение отложенных налоговых обязательств</t>
  </si>
  <si>
    <t>Изменение отложенных налоговых активов</t>
  </si>
  <si>
    <t>Прочее</t>
  </si>
  <si>
    <t xml:space="preserve">    Чистая прибыль (убыток)</t>
  </si>
  <si>
    <t>Абс. Изменение</t>
  </si>
  <si>
    <t>Актив</t>
  </si>
  <si>
    <t>Пассив</t>
  </si>
  <si>
    <t>Платежный излишек или недостаток средств А - П</t>
  </si>
  <si>
    <t>группа</t>
  </si>
  <si>
    <t>Код</t>
  </si>
  <si>
    <t>А1</t>
  </si>
  <si>
    <t>1250+1240</t>
  </si>
  <si>
    <t>П1</t>
  </si>
  <si>
    <t>А2</t>
  </si>
  <si>
    <t>П2</t>
  </si>
  <si>
    <t>1510+1540+1550</t>
  </si>
  <si>
    <t>А3</t>
  </si>
  <si>
    <t>1210+1220+1260-12605</t>
  </si>
  <si>
    <t>П3</t>
  </si>
  <si>
    <t>А4</t>
  </si>
  <si>
    <t>П4</t>
  </si>
  <si>
    <t>1300+1530+12605</t>
  </si>
  <si>
    <t>Баланс</t>
  </si>
  <si>
    <t>Методика расчета</t>
  </si>
  <si>
    <t>Собственные оборотные средства (СОС)</t>
  </si>
  <si>
    <t>Собственный капитал (СК) – внеоборотные активы (ВОА)</t>
  </si>
  <si>
    <t>Собственные и долгосрочные заемные средства (СДИ)</t>
  </si>
  <si>
    <t>Собственные оборотные средства (СОС) + долгосрочные кредиты и займы (ДКЗ)</t>
  </si>
  <si>
    <t>Основные источники формирования запасов (ОИЗ)</t>
  </si>
  <si>
    <t>Собственные и долгосрочные заемные средства (СДИ) + краткосрочные кредиты и займы (ККЗ)</t>
  </si>
  <si>
    <t>Запасы и затраты</t>
  </si>
  <si>
    <t>Запасы (З)</t>
  </si>
  <si>
    <t>Излишек (недостаток) собственных оборотных средств (∆СОС)</t>
  </si>
  <si>
    <t>Собственные оборотные средства (СОС) – запасы (З)</t>
  </si>
  <si>
    <t>Излишек (недостаток) собственных и долгосрочных заемных средств (∆СДИ)</t>
  </si>
  <si>
    <t>Собственные и долгосрочные заемные средства (СДИ) – запасы (З)</t>
  </si>
  <si>
    <t>Излишек (недостаток) общей величины основных источников покрытия запасов (∆ОИЗ)</t>
  </si>
  <si>
    <t>Собственные и долгосрочные заемные средства (СДИ) + краткосрочные кредиты и займы (ККЗ) – запасы (З)</t>
  </si>
  <si>
    <t>Трехфакторная модель финансовой устойчивости (М)</t>
  </si>
  <si>
    <t>(∆СОС; ∆СДИ; ∆ОИЗ)</t>
  </si>
  <si>
    <t>Изменение</t>
  </si>
  <si>
    <t>ПАО "КАМАЗ"</t>
  </si>
  <si>
    <t>6 = 3 / итог 3</t>
  </si>
  <si>
    <t>7 = 4 / итог 4</t>
  </si>
  <si>
    <t>5 = 5 / итог 5</t>
  </si>
  <si>
    <t>Уд. Вес статьи в структуре баланса, %</t>
  </si>
  <si>
    <t>Изм. Удельного веса</t>
  </si>
  <si>
    <t>8 = 5 / итог 5</t>
  </si>
  <si>
    <t>10 = 8 - 7</t>
  </si>
  <si>
    <t>9 = 7 - 6</t>
  </si>
  <si>
    <t xml:space="preserve">Амортизация </t>
  </si>
  <si>
    <t>EBIT</t>
  </si>
  <si>
    <t>EBITDA</t>
  </si>
  <si>
    <t>в том числе:</t>
  </si>
  <si>
    <t xml:space="preserve">среднегодовое значение за </t>
  </si>
  <si>
    <t>т.р.</t>
  </si>
  <si>
    <t>1230</t>
  </si>
  <si>
    <t>Расчеты с поставщиками и подрядчиками</t>
  </si>
  <si>
    <t>12301</t>
  </si>
  <si>
    <t>Расчеты с покупателями и заказчиками</t>
  </si>
  <si>
    <t>12302</t>
  </si>
  <si>
    <t>Расчеты по налогам и сборам</t>
  </si>
  <si>
    <t>12303</t>
  </si>
  <si>
    <t>Расчеты по социальному страхованию и обеспечению</t>
  </si>
  <si>
    <t>12304</t>
  </si>
  <si>
    <t>Расчеты с подотчетными лицами</t>
  </si>
  <si>
    <t>12305</t>
  </si>
  <si>
    <t>Расчеты с персоналом по прочим операциям</t>
  </si>
  <si>
    <t>12306</t>
  </si>
  <si>
    <t>Расчеты по вкладам в уставный (складочный) капитал</t>
  </si>
  <si>
    <t>12307</t>
  </si>
  <si>
    <t>Расчеты с разными дебиторами и кредиторами</t>
  </si>
  <si>
    <t>12308</t>
  </si>
  <si>
    <t>Выполненные этапы по незавершенным работам</t>
  </si>
  <si>
    <t>12309</t>
  </si>
  <si>
    <t>Резервы предстоящих расходов</t>
  </si>
  <si>
    <t>12310</t>
  </si>
  <si>
    <t>1520</t>
  </si>
  <si>
    <t>15201</t>
  </si>
  <si>
    <t>15202</t>
  </si>
  <si>
    <t>15203</t>
  </si>
  <si>
    <t>15204</t>
  </si>
  <si>
    <t>Расчеты с персоналом по оплате труда</t>
  </si>
  <si>
    <t>15205</t>
  </si>
  <si>
    <t>15206</t>
  </si>
  <si>
    <t>Задолженность участникам (учредителям) по выплате доходов</t>
  </si>
  <si>
    <t>15207</t>
  </si>
  <si>
    <t>15208</t>
  </si>
  <si>
    <t>сумма</t>
  </si>
  <si>
    <t>уд. Вес в выручке, %</t>
  </si>
  <si>
    <t>Наименование показателей</t>
  </si>
  <si>
    <t>Норматив ные значения</t>
  </si>
  <si>
    <t>Коэффициенты по балансу</t>
  </si>
  <si>
    <t>Отклонение данных на конец периода</t>
  </si>
  <si>
    <t>на начало</t>
  </si>
  <si>
    <t>на конец</t>
  </si>
  <si>
    <t>от норматива</t>
  </si>
  <si>
    <t>от данных на начало периода</t>
  </si>
  <si>
    <t>1 Коэффициент автономии (самостоятельности, независимости)</t>
  </si>
  <si>
    <t>&gt;= 0.5</t>
  </si>
  <si>
    <t>2 Коэффициент финансовой зависимости</t>
  </si>
  <si>
    <t>&lt;= 0.5</t>
  </si>
  <si>
    <t>3 Коэффициент соотношения заемных и собственных средств (плечо финансового рычага)</t>
  </si>
  <si>
    <t>&lt;= 1</t>
  </si>
  <si>
    <t>4 Собственные средства в обороте</t>
  </si>
  <si>
    <t>5 Коэффициент обеспеченности оборотных активов собственными оборотными средствами</t>
  </si>
  <si>
    <t>6 Коэффициент обеспеченности запасов собственными оборотными средствами</t>
  </si>
  <si>
    <t>7 Коэффициент маневренности собственных средств</t>
  </si>
  <si>
    <r>
      <t>³</t>
    </r>
    <r>
      <rPr>
        <sz val="12"/>
        <rFont val="Times New Roman"/>
        <family val="1"/>
      </rPr>
      <t xml:space="preserve"> 0.1</t>
    </r>
  </si>
  <si>
    <r>
      <t>³</t>
    </r>
    <r>
      <rPr>
        <sz val="12"/>
        <rFont val="Times New Roman"/>
        <family val="1"/>
      </rPr>
      <t xml:space="preserve"> 0.5</t>
    </r>
  </si>
  <si>
    <t>Прочие обязательства (Задолженность участникам (учредителям) по выплате доходов)</t>
  </si>
  <si>
    <t>в динамике</t>
  </si>
  <si>
    <t>0,2 - 0,5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</si>
</sst>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_(* #,##0_);_(* \(#,##0\);_(* &quot;-&quot;??_);_(@_)"/>
    <numFmt numFmtId="167" formatCode="_-* #,##0.0000_р_._-;\-* #,##0.0000_р_._-;_-* &quot;-&quot;??_р_._-;_-@_-"/>
    <numFmt numFmtId="168" formatCode="0.0000"/>
    <numFmt numFmtId="169" formatCode="_(* #,##0.00000_);_(* \(#,##0.00000\);_(* &quot;-&quot;??_);_(@_)"/>
    <numFmt numFmtId="170" formatCode="0.0%"/>
    <numFmt numFmtId="171" formatCode="#,##0_р_.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#,##0.0"/>
    <numFmt numFmtId="180" formatCode="0.000000"/>
    <numFmt numFmtId="181" formatCode="0.0000000"/>
    <numFmt numFmtId="182" formatCode="0.00000000"/>
    <numFmt numFmtId="183" formatCode="#,##0.000"/>
    <numFmt numFmtId="184" formatCode="#,##0.0000"/>
    <numFmt numFmtId="185" formatCode="#,##0.00000"/>
    <numFmt numFmtId="186" formatCode="0.000E+00"/>
    <numFmt numFmtId="187" formatCode="0.0E+00"/>
    <numFmt numFmtId="188" formatCode="0E+00"/>
    <numFmt numFmtId="189" formatCode="0.0000E+00"/>
    <numFmt numFmtId="190" formatCode="0.00000E+00"/>
    <numFmt numFmtId="191" formatCode="0.000000E+00"/>
    <numFmt numFmtId="192" formatCode="0.0000000E+00"/>
    <numFmt numFmtId="193" formatCode="0.00000000E+00"/>
    <numFmt numFmtId="194" formatCode="0.000000000E+00"/>
    <numFmt numFmtId="195" formatCode="0.0000000000E+00"/>
    <numFmt numFmtId="196" formatCode="0.00000000000E+00"/>
    <numFmt numFmtId="197" formatCode="0.000000000000E+00"/>
    <numFmt numFmtId="198" formatCode="0.0000000000000E+00"/>
    <numFmt numFmtId="199" formatCode="0.000000000"/>
    <numFmt numFmtId="200" formatCode="0.0000000000"/>
    <numFmt numFmtId="201" formatCode="0.0000000000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color indexed="10"/>
      <name val="Times New Roman Cyr"/>
      <family val="1"/>
    </font>
    <font>
      <b/>
      <i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Alignment="0">
      <protection/>
    </xf>
    <xf numFmtId="0" fontId="7" fillId="0" borderId="0" applyAlignment="0">
      <protection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7" borderId="1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3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31" fillId="0" borderId="0" xfId="64" applyNumberFormat="1" applyFont="1" applyFill="1" applyAlignment="1">
      <alignment horizontal="center"/>
    </xf>
    <xf numFmtId="165" fontId="31" fillId="0" borderId="0" xfId="64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center" vertical="top" wrapText="1"/>
    </xf>
    <xf numFmtId="166" fontId="32" fillId="0" borderId="10" xfId="0" applyNumberFormat="1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3" fontId="32" fillId="0" borderId="10" xfId="0" applyNumberFormat="1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166" fontId="25" fillId="0" borderId="0" xfId="0" applyNumberFormat="1" applyFont="1" applyFill="1" applyAlignment="1">
      <alignment vertical="center"/>
    </xf>
    <xf numFmtId="1" fontId="25" fillId="0" borderId="0" xfId="0" applyNumberFormat="1" applyFont="1" applyFill="1" applyAlignment="1">
      <alignment vertical="center"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/>
    </xf>
    <xf numFmtId="166" fontId="28" fillId="0" borderId="0" xfId="0" applyNumberFormat="1" applyFont="1" applyFill="1" applyAlignment="1">
      <alignment vertical="center"/>
    </xf>
    <xf numFmtId="166" fontId="25" fillId="0" borderId="0" xfId="0" applyNumberFormat="1" applyFont="1" applyFill="1" applyAlignment="1">
      <alignment horizontal="center" vertical="center"/>
    </xf>
    <xf numFmtId="166" fontId="27" fillId="0" borderId="10" xfId="0" applyNumberFormat="1" applyFont="1" applyFill="1" applyBorder="1" applyAlignment="1">
      <alignment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166" fontId="33" fillId="0" borderId="10" xfId="0" applyNumberFormat="1" applyFont="1" applyFill="1" applyBorder="1" applyAlignment="1">
      <alignment horizontal="center" vertical="top" wrapText="1"/>
    </xf>
    <xf numFmtId="1" fontId="33" fillId="0" borderId="10" xfId="0" applyNumberFormat="1" applyFont="1" applyFill="1" applyBorder="1" applyAlignment="1">
      <alignment horizontal="center" vertical="top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65" fontId="33" fillId="0" borderId="0" xfId="64" applyNumberFormat="1" applyFont="1" applyFill="1" applyAlignment="1">
      <alignment/>
    </xf>
    <xf numFmtId="0" fontId="27" fillId="0" borderId="0" xfId="0" applyFont="1" applyFill="1" applyAlignment="1">
      <alignment/>
    </xf>
    <xf numFmtId="165" fontId="33" fillId="0" borderId="0" xfId="64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165" fontId="33" fillId="0" borderId="10" xfId="64" applyNumberFormat="1" applyFont="1" applyFill="1" applyBorder="1" applyAlignment="1">
      <alignment/>
    </xf>
    <xf numFmtId="171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65" fontId="33" fillId="0" borderId="10" xfId="64" applyNumberFormat="1" applyFont="1" applyFill="1" applyBorder="1" applyAlignment="1">
      <alignment horizontal="center" vertical="center" wrapText="1"/>
    </xf>
    <xf numFmtId="165" fontId="33" fillId="0" borderId="0" xfId="64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66" fontId="33" fillId="0" borderId="10" xfId="0" applyNumberFormat="1" applyFont="1" applyFill="1" applyBorder="1" applyAlignment="1">
      <alignment vertical="top" wrapText="1"/>
    </xf>
    <xf numFmtId="166" fontId="33" fillId="0" borderId="10" xfId="0" applyNumberFormat="1" applyFont="1" applyFill="1" applyBorder="1" applyAlignment="1">
      <alignment horizontal="right" vertical="top" wrapText="1"/>
    </xf>
    <xf numFmtId="3" fontId="33" fillId="0" borderId="10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165" fontId="27" fillId="0" borderId="0" xfId="64" applyNumberFormat="1" applyFont="1" applyFill="1" applyAlignment="1">
      <alignment/>
    </xf>
    <xf numFmtId="166" fontId="27" fillId="0" borderId="10" xfId="0" applyNumberFormat="1" applyFont="1" applyFill="1" applyBorder="1" applyAlignment="1">
      <alignment horizontal="right" vertical="top" wrapText="1"/>
    </xf>
    <xf numFmtId="0" fontId="33" fillId="0" borderId="0" xfId="0" applyFont="1" applyFill="1" applyAlignment="1">
      <alignment horizontal="center"/>
    </xf>
    <xf numFmtId="165" fontId="33" fillId="0" borderId="0" xfId="64" applyNumberFormat="1" applyFont="1" applyFill="1" applyAlignment="1">
      <alignment horizontal="center"/>
    </xf>
    <xf numFmtId="166" fontId="33" fillId="0" borderId="0" xfId="0" applyNumberFormat="1" applyFont="1" applyFill="1" applyAlignment="1">
      <alignment/>
    </xf>
    <xf numFmtId="4" fontId="33" fillId="0" borderId="10" xfId="0" applyNumberFormat="1" applyFont="1" applyFill="1" applyBorder="1" applyAlignment="1">
      <alignment horizontal="right"/>
    </xf>
    <xf numFmtId="4" fontId="33" fillId="0" borderId="10" xfId="64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4" fontId="27" fillId="0" borderId="10" xfId="64" applyNumberFormat="1" applyFont="1" applyFill="1" applyBorder="1" applyAlignment="1">
      <alignment horizontal="right"/>
    </xf>
    <xf numFmtId="166" fontId="29" fillId="0" borderId="10" xfId="0" applyNumberFormat="1" applyFont="1" applyFill="1" applyBorder="1" applyAlignment="1">
      <alignment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166" fontId="29" fillId="0" borderId="10" xfId="0" applyNumberFormat="1" applyFont="1" applyFill="1" applyBorder="1" applyAlignment="1">
      <alignment horizontal="center" vertical="top" wrapText="1"/>
    </xf>
    <xf numFmtId="166" fontId="29" fillId="0" borderId="10" xfId="0" applyNumberFormat="1" applyFont="1" applyFill="1" applyBorder="1" applyAlignment="1">
      <alignment horizontal="right" vertical="top" wrapText="1"/>
    </xf>
    <xf numFmtId="3" fontId="29" fillId="0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4" fontId="29" fillId="0" borderId="10" xfId="64" applyNumberFormat="1" applyFont="1" applyFill="1" applyBorder="1" applyAlignment="1">
      <alignment horizontal="right"/>
    </xf>
    <xf numFmtId="165" fontId="29" fillId="0" borderId="0" xfId="64" applyNumberFormat="1" applyFont="1" applyFill="1" applyAlignment="1">
      <alignment/>
    </xf>
    <xf numFmtId="0" fontId="29" fillId="0" borderId="0" xfId="0" applyFont="1" applyFill="1" applyAlignment="1">
      <alignment/>
    </xf>
    <xf numFmtId="3" fontId="33" fillId="0" borderId="10" xfId="56" applyNumberFormat="1" applyFont="1" applyFill="1" applyBorder="1" applyAlignment="1">
      <alignment horizontal="right" vertical="center"/>
      <protection/>
    </xf>
    <xf numFmtId="0" fontId="32" fillId="0" borderId="11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1" fontId="32" fillId="0" borderId="11" xfId="55" applyNumberFormat="1" applyFont="1" applyBorder="1" applyAlignment="1">
      <alignment horizontal="center" vertical="top" wrapText="1"/>
      <protection/>
    </xf>
    <xf numFmtId="14" fontId="32" fillId="0" borderId="11" xfId="55" applyNumberFormat="1" applyFont="1" applyBorder="1" applyAlignment="1">
      <alignment horizontal="center" vertical="top" wrapText="1"/>
      <protection/>
    </xf>
    <xf numFmtId="0" fontId="32" fillId="0" borderId="0" xfId="55" applyFont="1" applyAlignment="1">
      <alignment horizontal="center"/>
      <protection/>
    </xf>
    <xf numFmtId="0" fontId="35" fillId="0" borderId="11" xfId="55" applyFont="1" applyBorder="1" applyAlignment="1">
      <alignment horizontal="left" vertical="top" wrapText="1"/>
      <protection/>
    </xf>
    <xf numFmtId="3" fontId="32" fillId="0" borderId="11" xfId="55" applyNumberFormat="1" applyFont="1" applyBorder="1" applyAlignment="1">
      <alignment vertical="top" wrapText="1"/>
      <protection/>
    </xf>
    <xf numFmtId="0" fontId="35" fillId="0" borderId="11" xfId="55" applyFont="1" applyBorder="1" applyAlignment="1">
      <alignment vertical="top" wrapText="1"/>
      <protection/>
    </xf>
    <xf numFmtId="0" fontId="35" fillId="0" borderId="11" xfId="55" applyFont="1" applyBorder="1" applyAlignment="1">
      <alignment horizontal="center" vertical="top" wrapText="1"/>
      <protection/>
    </xf>
    <xf numFmtId="3" fontId="35" fillId="0" borderId="11" xfId="55" applyNumberFormat="1" applyFont="1" applyBorder="1" applyAlignment="1">
      <alignment vertical="top" wrapText="1"/>
      <protection/>
    </xf>
    <xf numFmtId="0" fontId="35" fillId="0" borderId="0" xfId="55" applyFont="1">
      <alignment/>
      <protection/>
    </xf>
    <xf numFmtId="3" fontId="32" fillId="0" borderId="0" xfId="55" applyNumberFormat="1" applyFont="1">
      <alignment/>
      <protection/>
    </xf>
    <xf numFmtId="0" fontId="37" fillId="0" borderId="11" xfId="55" applyFont="1" applyBorder="1" applyAlignment="1">
      <alignment wrapText="1"/>
      <protection/>
    </xf>
    <xf numFmtId="3" fontId="32" fillId="0" borderId="11" xfId="55" applyNumberFormat="1" applyFont="1" applyBorder="1">
      <alignment/>
      <protection/>
    </xf>
    <xf numFmtId="0" fontId="36" fillId="0" borderId="11" xfId="55" applyFont="1" applyBorder="1" applyAlignment="1">
      <alignment wrapText="1"/>
      <protection/>
    </xf>
    <xf numFmtId="0" fontId="35" fillId="0" borderId="11" xfId="55" applyFont="1" applyBorder="1" applyAlignment="1">
      <alignment horizontal="center"/>
      <protection/>
    </xf>
    <xf numFmtId="0" fontId="35" fillId="0" borderId="11" xfId="55" applyFont="1" applyBorder="1">
      <alignment/>
      <protection/>
    </xf>
    <xf numFmtId="1" fontId="33" fillId="0" borderId="10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top" wrapText="1"/>
    </xf>
    <xf numFmtId="1" fontId="3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166" fontId="1" fillId="0" borderId="0" xfId="0" applyNumberFormat="1" applyFont="1" applyFill="1" applyAlignment="1">
      <alignment vertical="center"/>
    </xf>
    <xf numFmtId="166" fontId="2" fillId="0" borderId="10" xfId="0" applyNumberFormat="1" applyFont="1" applyFill="1" applyBorder="1" applyAlignment="1">
      <alignment vertical="center" wrapText="1"/>
    </xf>
    <xf numFmtId="166" fontId="1" fillId="0" borderId="10" xfId="0" applyNumberFormat="1" applyFont="1" applyFill="1" applyBorder="1" applyAlignment="1">
      <alignment horizontal="left" vertical="center" wrapText="1"/>
    </xf>
    <xf numFmtId="1" fontId="1" fillId="0" borderId="10" xfId="64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/>
    </xf>
    <xf numFmtId="166" fontId="1" fillId="0" borderId="10" xfId="0" applyNumberFormat="1" applyFont="1" applyFill="1" applyBorder="1" applyAlignment="1">
      <alignment vertical="center" wrapText="1"/>
    </xf>
    <xf numFmtId="166" fontId="1" fillId="0" borderId="0" xfId="0" applyNumberFormat="1" applyFont="1" applyFill="1" applyBorder="1" applyAlignment="1">
      <alignment vertical="center"/>
    </xf>
    <xf numFmtId="1" fontId="2" fillId="0" borderId="10" xfId="64" applyNumberFormat="1" applyFont="1" applyFill="1" applyBorder="1" applyAlignment="1">
      <alignment horizontal="center" vertical="center" wrapText="1"/>
    </xf>
    <xf numFmtId="3" fontId="2" fillId="0" borderId="10" xfId="64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1" fillId="0" borderId="0" xfId="64" applyNumberFormat="1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center"/>
    </xf>
    <xf numFmtId="167" fontId="1" fillId="0" borderId="0" xfId="64" applyNumberFormat="1" applyFont="1" applyFill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6" fontId="1" fillId="0" borderId="10" xfId="64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64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" fontId="32" fillId="0" borderId="11" xfId="55" applyNumberFormat="1" applyFont="1" applyBorder="1" applyAlignment="1">
      <alignment horizontal="center"/>
      <protection/>
    </xf>
    <xf numFmtId="0" fontId="32" fillId="0" borderId="11" xfId="55" applyFont="1" applyBorder="1" applyAlignment="1">
      <alignment horizontal="center"/>
      <protection/>
    </xf>
    <xf numFmtId="0" fontId="33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vertical="top" wrapText="1"/>
    </xf>
    <xf numFmtId="0" fontId="33" fillId="0" borderId="11" xfId="0" applyFont="1" applyBorder="1" applyAlignment="1">
      <alignment horizontal="center" vertical="top" wrapText="1"/>
    </xf>
    <xf numFmtId="166" fontId="33" fillId="0" borderId="14" xfId="0" applyNumberFormat="1" applyFont="1" applyFill="1" applyBorder="1" applyAlignment="1">
      <alignment horizontal="center" vertical="top" wrapText="1"/>
    </xf>
    <xf numFmtId="166" fontId="33" fillId="0" borderId="15" xfId="0" applyNumberFormat="1" applyFont="1" applyFill="1" applyBorder="1" applyAlignment="1">
      <alignment horizontal="center" vertical="top" wrapText="1"/>
    </xf>
    <xf numFmtId="166" fontId="33" fillId="0" borderId="16" xfId="0" applyNumberFormat="1" applyFont="1" applyFill="1" applyBorder="1" applyAlignment="1">
      <alignment horizontal="center" vertical="top" wrapText="1"/>
    </xf>
    <xf numFmtId="1" fontId="33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/>
    </xf>
    <xf numFmtId="165" fontId="33" fillId="0" borderId="10" xfId="64" applyNumberFormat="1" applyFont="1" applyFill="1" applyBorder="1" applyAlignment="1">
      <alignment horizontal="center"/>
    </xf>
    <xf numFmtId="166" fontId="33" fillId="0" borderId="10" xfId="0" applyNumberFormat="1" applyFont="1" applyFill="1" applyBorder="1" applyAlignment="1">
      <alignment horizontal="center" vertical="top" wrapText="1"/>
    </xf>
    <xf numFmtId="166" fontId="33" fillId="0" borderId="10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166" fontId="1" fillId="0" borderId="10" xfId="64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6" fontId="30" fillId="0" borderId="12" xfId="0" applyNumberFormat="1" applyFont="1" applyFill="1" applyBorder="1" applyAlignment="1">
      <alignment horizontal="center" vertical="center"/>
    </xf>
    <xf numFmtId="166" fontId="30" fillId="0" borderId="13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1" xfId="55" applyFont="1" applyBorder="1" applyAlignment="1">
      <alignment horizontal="center" vertical="top" wrapText="1"/>
      <protection/>
    </xf>
    <xf numFmtId="0" fontId="36" fillId="0" borderId="11" xfId="55" applyFont="1" applyBorder="1" applyAlignment="1">
      <alignment horizontal="center" wrapText="1"/>
      <protection/>
    </xf>
    <xf numFmtId="168" fontId="33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lumnHeaderNormal" xfId="33"/>
    <cellStyle name="Text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нига1" xfId="55"/>
    <cellStyle name="Обычный_Шабл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'ф2'!$A$9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('ф2'!$E$9,'ф2'!$G$9)</c:f>
              <c:numCache>
                <c:ptCount val="2"/>
                <c:pt idx="0">
                  <c:v>298498913</c:v>
                </c:pt>
                <c:pt idx="1">
                  <c:v>204055319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'ф2'!$A$12</c:f>
              <c:strCache>
                <c:ptCount val="1"/>
                <c:pt idx="0">
                  <c:v>Прибыль (убыток) от продаж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('ф2'!$E$12,'ф2'!$G$12)</c:f>
              <c:numCache>
                <c:ptCount val="2"/>
                <c:pt idx="0">
                  <c:v>270858373</c:v>
                </c:pt>
                <c:pt idx="1">
                  <c:v>157746320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'ф2'!$A$19</c:f>
              <c:strCache>
                <c:ptCount val="1"/>
                <c:pt idx="0">
                  <c:v>     Прибыль (убыток) до налогообложения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('ф2'!$E$19,'ф2'!$G$19)</c:f>
              <c:numCache>
                <c:ptCount val="2"/>
                <c:pt idx="0">
                  <c:v>182799778</c:v>
                </c:pt>
                <c:pt idx="1">
                  <c:v>213723478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'ф2'!$A$24</c:f>
              <c:strCache>
                <c:ptCount val="1"/>
                <c:pt idx="0">
                  <c:v>    Чистая прибыль (убыток)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('ф2'!$E$24,'ф2'!$G$24)</c:f>
              <c:numCache>
                <c:ptCount val="2"/>
                <c:pt idx="0">
                  <c:v>182566224</c:v>
                </c:pt>
                <c:pt idx="1">
                  <c:v>204363706</c:v>
                </c:pt>
              </c:numCache>
            </c:numRef>
          </c:val>
          <c:smooth val="0"/>
        </c:ser>
        <c:axId val="19207514"/>
        <c:axId val="21086475"/>
      </c:lineChart>
      <c:catAx>
        <c:axId val="1920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6475"/>
        <c:crosses val="autoZero"/>
        <c:auto val="1"/>
        <c:lblOffset val="100"/>
        <c:noMultiLvlLbl val="0"/>
      </c:catAx>
      <c:valAx>
        <c:axId val="21086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07514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808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'баланс структура'!$A$30:$J$30</c:f>
              <c:strCache>
                <c:ptCount val="1"/>
                <c:pt idx="0">
                  <c:v>III. КАПИТАЛ И РЕЗЕРВЫ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'баланс структура'!$C$27:$E$28</c:f>
              <c:multiLvlStrCache/>
            </c:multiLvlStrRef>
          </c:cat>
          <c:val>
            <c:numRef>
              <c:f>'баланс структура'!$C$38:$E$38</c:f>
              <c:numCache/>
            </c:numRef>
          </c:val>
        </c:ser>
        <c:ser>
          <c:idx val="1"/>
          <c:order val="1"/>
          <c:tx>
            <c:strRef>
              <c:f>'баланс структура'!$A$39:$J$39</c:f>
              <c:strCache>
                <c:ptCount val="1"/>
                <c:pt idx="0">
                  <c:v>IV. ДОЛГОСРОЧНЫЕ ОБЯЗАТЕЛЬСТВА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'баланс структура'!$C$27:$E$28</c:f>
              <c:multiLvlStrCache/>
            </c:multiLvlStrRef>
          </c:cat>
          <c:val>
            <c:numRef>
              <c:f>'баланс структура'!$C$44:$E$44</c:f>
              <c:numCache/>
            </c:numRef>
          </c:val>
        </c:ser>
        <c:ser>
          <c:idx val="2"/>
          <c:order val="2"/>
          <c:tx>
            <c:strRef>
              <c:f>'баланс структура'!$A$45:$J$45</c:f>
              <c:strCache>
                <c:ptCount val="1"/>
                <c:pt idx="0">
                  <c:v>V. КРАТКОСРОЧНЫЕ ОБЯЗАТЕЛЬСТВА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'баланс структура'!$C$27:$E$28</c:f>
              <c:multiLvlStrCache/>
            </c:multiLvlStrRef>
          </c:cat>
          <c:val>
            <c:numRef>
              <c:f>'баланс структура'!$C$51:$E$51</c:f>
              <c:numCache/>
            </c:numRef>
          </c:val>
        </c:ser>
        <c:overlap val="100"/>
        <c:axId val="61078388"/>
        <c:axId val="58916053"/>
      </c:barChart>
      <c:catAx>
        <c:axId val="6107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6053"/>
        <c:crosses val="autoZero"/>
        <c:auto val="1"/>
        <c:lblOffset val="100"/>
        <c:noMultiLvlLbl val="0"/>
      </c:catAx>
      <c:valAx>
        <c:axId val="58916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78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57150</xdr:rowOff>
    </xdr:from>
    <xdr:to>
      <xdr:col>4</xdr:col>
      <xdr:colOff>1162050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71450" y="6677025"/>
        <a:ext cx="7124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1905000</xdr:colOff>
      <xdr:row>56</xdr:row>
      <xdr:rowOff>104775</xdr:rowOff>
    </xdr:from>
    <xdr:to>
      <xdr:col>6</xdr:col>
      <xdr:colOff>428625</xdr:colOff>
      <xdr:row>74</xdr:row>
      <xdr:rowOff>95250</xdr:rowOff>
    </xdr:to>
    <xdr:graphicFrame>
      <xdr:nvGraphicFramePr>
        <xdr:cNvPr id="1" name="Chart 1"/>
        <xdr:cNvGraphicFramePr/>
      </xdr:nvGraphicFramePr>
      <xdr:xfrm>
        <a:off x="1905000" y="15211425"/>
        <a:ext cx="7353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other\&#1052;&#1086;&#1080;%20&#1076;&#1086;&#1082;&#1091;&#1084;&#1077;&#1085;&#1090;&#1099;\&#1072;&#1085;&#1072;&#1083;&#1080;&#1079;\am_stud\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&#1042;%20&#1088;&#1072;&#1073;&#1086;&#1090;&#1077;\&#1064;&#1072;&#1073;&#1083;&#1086;&#1085;\&#1064;&#1072;&#1073;&#1083;&#1086;&#108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ое меню"/>
      <sheetName val="Карточка"/>
      <sheetName val="Nulic"/>
      <sheetName val="Баланс"/>
      <sheetName val="ОПУ"/>
      <sheetName val="Доп"/>
      <sheetName val="ф1 инвалюта"/>
      <sheetName val="ф2 инвалюта"/>
      <sheetName val="групп"/>
      <sheetName val="Ковалев"/>
      <sheetName val="ФУ1"/>
      <sheetName val="ЧА"/>
      <sheetName val="ликвФ1"/>
      <sheetName val="банкрот"/>
      <sheetName val="Стр-ра ОА"/>
      <sheetName val="Стр-ра КП"/>
      <sheetName val="Стр-ра актива"/>
      <sheetName val="Стр-ра пассива"/>
      <sheetName val="Стр-ра ВА"/>
      <sheetName val="Стр-ра СК"/>
      <sheetName val="Стр-ра дох"/>
      <sheetName val="Стр-ра расх"/>
      <sheetName val="Курсы"/>
      <sheetName val="Регрессии"/>
      <sheetName val="Валюта"/>
      <sheetName val="Сравни"/>
    </sheetNames>
    <sheetDataSet>
      <sheetData sheetId="6">
        <row r="8">
          <cell r="C8">
            <v>1346</v>
          </cell>
          <cell r="D8">
            <v>145</v>
          </cell>
        </row>
        <row r="24">
          <cell r="G24">
            <v>0</v>
          </cell>
          <cell r="H24">
            <v>0</v>
          </cell>
        </row>
        <row r="35">
          <cell r="C35">
            <v>263</v>
          </cell>
          <cell r="D35">
            <v>812</v>
          </cell>
        </row>
        <row r="39"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2175</v>
          </cell>
          <cell r="H41">
            <v>6648</v>
          </cell>
        </row>
        <row r="42">
          <cell r="G42">
            <v>16962</v>
          </cell>
          <cell r="H42">
            <v>34621</v>
          </cell>
        </row>
        <row r="59">
          <cell r="C59">
            <v>16394</v>
          </cell>
          <cell r="D59">
            <v>33556</v>
          </cell>
        </row>
        <row r="60">
          <cell r="C60">
            <v>52500</v>
          </cell>
          <cell r="D60">
            <v>70472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ризонтальный анализ"/>
      <sheetName val="Вертикальный анализ"/>
      <sheetName val="ф2"/>
      <sheetName val="Анализ банкротства"/>
      <sheetName val="Коэф.фин.устойчивости"/>
      <sheetName val="Деловая активность"/>
      <sheetName val="Рентабельность и доходность"/>
      <sheetName val="Чистые активы"/>
      <sheetName val="Баланс ликвидность"/>
      <sheetName val="3-х факторная модель фин.устойч"/>
    </sheetNames>
    <sheetDataSet>
      <sheetData sheetId="0">
        <row r="1">
          <cell r="D1">
            <v>2015</v>
          </cell>
          <cell r="E1">
            <v>2016</v>
          </cell>
          <cell r="F1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55.875" style="83" customWidth="1"/>
    <col min="2" max="2" width="15.625" style="83" customWidth="1"/>
    <col min="3" max="3" width="12.25390625" style="83" customWidth="1"/>
    <col min="4" max="4" width="13.00390625" style="83" customWidth="1"/>
    <col min="5" max="5" width="15.75390625" style="83" customWidth="1"/>
    <col min="6" max="6" width="13.125" style="83" customWidth="1"/>
    <col min="7" max="16384" width="9.125" style="83" customWidth="1"/>
  </cols>
  <sheetData>
    <row r="1" spans="1:6" ht="33.75" customHeight="1">
      <c r="A1" s="116" t="s">
        <v>165</v>
      </c>
      <c r="B1" s="116" t="s">
        <v>166</v>
      </c>
      <c r="C1" s="116" t="s">
        <v>167</v>
      </c>
      <c r="D1" s="116"/>
      <c r="E1" s="116" t="s">
        <v>168</v>
      </c>
      <c r="F1" s="116"/>
    </row>
    <row r="2" spans="1:6" ht="51.75" customHeight="1">
      <c r="A2" s="116"/>
      <c r="B2" s="116"/>
      <c r="C2" s="114" t="s">
        <v>169</v>
      </c>
      <c r="D2" s="114" t="s">
        <v>170</v>
      </c>
      <c r="E2" s="114" t="s">
        <v>171</v>
      </c>
      <c r="F2" s="114" t="s">
        <v>172</v>
      </c>
    </row>
    <row r="3" spans="1:6" ht="15.75">
      <c r="A3" s="115"/>
      <c r="B3" s="114">
        <v>2</v>
      </c>
      <c r="C3" s="114">
        <v>3</v>
      </c>
      <c r="D3" s="114">
        <v>4</v>
      </c>
      <c r="E3" s="114">
        <v>5</v>
      </c>
      <c r="F3" s="114">
        <v>6</v>
      </c>
    </row>
    <row r="4" spans="1:6" ht="31.5">
      <c r="A4" s="115" t="s">
        <v>173</v>
      </c>
      <c r="B4" s="114" t="s">
        <v>174</v>
      </c>
      <c r="C4" s="139">
        <f>баланс!D38/баланс!D52</f>
        <v>0.6977796519454401</v>
      </c>
      <c r="D4" s="139">
        <f>баланс!E38/баланс!E52</f>
        <v>0.6277033442346239</v>
      </c>
      <c r="E4" s="139">
        <f>D4-0.5</f>
        <v>0.12770334423462393</v>
      </c>
      <c r="F4" s="139">
        <f aca="true" t="shared" si="0" ref="F4:F10">D4-C4</f>
        <v>-0.07007630771081619</v>
      </c>
    </row>
    <row r="5" spans="1:6" ht="15.75">
      <c r="A5" s="115" t="s">
        <v>175</v>
      </c>
      <c r="B5" s="114" t="s">
        <v>176</v>
      </c>
      <c r="C5" s="139">
        <f>баланс!D52/баланс!D38</f>
        <v>1.433117169885875</v>
      </c>
      <c r="D5" s="139">
        <f>баланс!E52/баланс!E38</f>
        <v>1.593109243697479</v>
      </c>
      <c r="E5" s="139">
        <f>D5-0.5</f>
        <v>1.093109243697479</v>
      </c>
      <c r="F5" s="139">
        <f t="shared" si="0"/>
        <v>0.15999207381160407</v>
      </c>
    </row>
    <row r="6" spans="1:6" ht="31.5">
      <c r="A6" s="115" t="s">
        <v>177</v>
      </c>
      <c r="B6" s="114" t="s">
        <v>178</v>
      </c>
      <c r="C6" s="139">
        <f>(баланс!D44+баланс!D51)/баланс!D38</f>
        <v>0.433117169885875</v>
      </c>
      <c r="D6" s="139">
        <f>(баланс!E44+баланс!E51)/баланс!E38</f>
        <v>0.593109243697479</v>
      </c>
      <c r="E6" s="139">
        <f>D6-1</f>
        <v>-0.40689075630252103</v>
      </c>
      <c r="F6" s="139">
        <f t="shared" si="0"/>
        <v>0.15999207381160396</v>
      </c>
    </row>
    <row r="7" spans="1:6" ht="15.75">
      <c r="A7" s="115" t="s">
        <v>179</v>
      </c>
      <c r="B7" s="114" t="s">
        <v>186</v>
      </c>
      <c r="C7" s="115">
        <f>баланс!D38-баланс!D17</f>
        <v>24650</v>
      </c>
      <c r="D7" s="115">
        <f>баланс!E38-баланс!E17</f>
        <v>34600</v>
      </c>
      <c r="E7" s="115"/>
      <c r="F7" s="115">
        <f t="shared" si="0"/>
        <v>9950</v>
      </c>
    </row>
    <row r="8" spans="1:6" ht="31.5">
      <c r="A8" s="115" t="s">
        <v>180</v>
      </c>
      <c r="B8" s="140" t="s">
        <v>183</v>
      </c>
      <c r="C8" s="139">
        <f>C7/баланс!D25</f>
        <v>0.5694945014324</v>
      </c>
      <c r="D8" s="139">
        <f>D7/баланс!E25</f>
        <v>0.5213905757899971</v>
      </c>
      <c r="E8" s="139">
        <f>D8-0.1</f>
        <v>0.42139057578999717</v>
      </c>
      <c r="F8" s="139">
        <f t="shared" si="0"/>
        <v>-0.048103925642402845</v>
      </c>
    </row>
    <row r="9" spans="1:6" ht="31.5">
      <c r="A9" s="115" t="s">
        <v>181</v>
      </c>
      <c r="B9" s="140" t="s">
        <v>184</v>
      </c>
      <c r="C9" s="139">
        <f>C7/баланс!D19</f>
        <v>1.017291898807313</v>
      </c>
      <c r="D9" s="139">
        <f>D7/баланс!E19</f>
        <v>0.923947874385815</v>
      </c>
      <c r="E9" s="139">
        <f>D9-0.5</f>
        <v>0.42394787438581505</v>
      </c>
      <c r="F9" s="139">
        <f t="shared" si="0"/>
        <v>-0.09334402442149792</v>
      </c>
    </row>
    <row r="10" spans="1:6" ht="15.75">
      <c r="A10" s="115" t="s">
        <v>182</v>
      </c>
      <c r="B10" s="114" t="s">
        <v>187</v>
      </c>
      <c r="C10" s="139">
        <f>C7/баланс!D38</f>
        <v>0.5729493526718267</v>
      </c>
      <c r="D10" s="139">
        <f>D7/баланс!E38</f>
        <v>0.646125116713352</v>
      </c>
      <c r="E10" s="139">
        <f>D10-0.5</f>
        <v>0.14612511671335204</v>
      </c>
      <c r="F10" s="139">
        <f t="shared" si="0"/>
        <v>0.07317576404152537</v>
      </c>
    </row>
  </sheetData>
  <mergeCells count="4">
    <mergeCell ref="A1:A2"/>
    <mergeCell ref="B1:B2"/>
    <mergeCell ref="C1:D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1"/>
  <sheetViews>
    <sheetView zoomScale="75" zoomScaleNormal="75" workbookViewId="0" topLeftCell="A28">
      <selection activeCell="A50" sqref="A50"/>
    </sheetView>
  </sheetViews>
  <sheetFormatPr defaultColWidth="9.00390625" defaultRowHeight="12.75"/>
  <cols>
    <col min="1" max="1" width="47.25390625" style="25" customWidth="1"/>
    <col min="2" max="2" width="10.875" style="42" customWidth="1"/>
    <col min="3" max="3" width="16.25390625" style="26" bestFit="1" customWidth="1"/>
    <col min="4" max="5" width="16.25390625" style="25" bestFit="1" customWidth="1"/>
    <col min="6" max="6" width="13.125" style="25" customWidth="1"/>
    <col min="7" max="7" width="14.25390625" style="42" bestFit="1" customWidth="1"/>
    <col min="8" max="9" width="13.125" style="25" customWidth="1"/>
    <col min="10" max="11" width="13.125" style="26" customWidth="1"/>
    <col min="12" max="12" width="15.375" style="26" customWidth="1"/>
    <col min="13" max="13" width="10.25390625" style="25" bestFit="1" customWidth="1"/>
    <col min="14" max="14" width="11.375" style="25" bestFit="1" customWidth="1"/>
    <col min="15" max="16384" width="9.125" style="25" customWidth="1"/>
  </cols>
  <sheetData>
    <row r="1" spans="1:7" ht="15.75">
      <c r="A1" s="25" t="s">
        <v>12</v>
      </c>
      <c r="B1" s="25">
        <v>2017</v>
      </c>
      <c r="G1" s="25"/>
    </row>
    <row r="2" spans="1:7" ht="15.75">
      <c r="A2" s="27"/>
      <c r="B2" s="27"/>
      <c r="C2" s="28"/>
      <c r="G2" s="25"/>
    </row>
    <row r="3" spans="1:7" ht="15.75">
      <c r="A3" s="27" t="s">
        <v>13</v>
      </c>
      <c r="B3" s="25"/>
      <c r="C3" s="28"/>
      <c r="G3" s="25"/>
    </row>
    <row r="4" spans="1:11" ht="15.75">
      <c r="A4" s="124" t="s">
        <v>14</v>
      </c>
      <c r="B4" s="123" t="s">
        <v>15</v>
      </c>
      <c r="C4" s="120">
        <f>D4-1</f>
        <v>2015</v>
      </c>
      <c r="D4" s="120">
        <f>E4-1</f>
        <v>2016</v>
      </c>
      <c r="E4" s="120">
        <f>B1</f>
        <v>2017</v>
      </c>
      <c r="F4" s="121" t="s">
        <v>8</v>
      </c>
      <c r="G4" s="121"/>
      <c r="H4" s="121" t="s">
        <v>9</v>
      </c>
      <c r="I4" s="121"/>
      <c r="J4" s="122" t="s">
        <v>10</v>
      </c>
      <c r="K4" s="122"/>
    </row>
    <row r="5" spans="1:11" ht="15.75">
      <c r="A5" s="124"/>
      <c r="B5" s="123"/>
      <c r="C5" s="120"/>
      <c r="D5" s="120"/>
      <c r="E5" s="120"/>
      <c r="F5" s="29"/>
      <c r="G5" s="29"/>
      <c r="H5" s="29"/>
      <c r="I5" s="29"/>
      <c r="J5" s="30"/>
      <c r="K5" s="30"/>
    </row>
    <row r="6" spans="1:12" s="35" customFormat="1" ht="31.5">
      <c r="A6" s="31">
        <v>1</v>
      </c>
      <c r="B6" s="24">
        <v>2</v>
      </c>
      <c r="C6" s="24">
        <v>3</v>
      </c>
      <c r="D6" s="24">
        <v>4</v>
      </c>
      <c r="E6" s="24">
        <v>5</v>
      </c>
      <c r="F6" s="32" t="s">
        <v>2</v>
      </c>
      <c r="G6" s="32" t="s">
        <v>3</v>
      </c>
      <c r="H6" s="32" t="s">
        <v>4</v>
      </c>
      <c r="I6" s="32" t="s">
        <v>5</v>
      </c>
      <c r="J6" s="33" t="s">
        <v>6</v>
      </c>
      <c r="K6" s="33" t="s">
        <v>7</v>
      </c>
      <c r="L6" s="34"/>
    </row>
    <row r="7" spans="1:11" ht="15.75">
      <c r="A7" s="117" t="s">
        <v>16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11" ht="15.75">
      <c r="A8" s="36" t="s">
        <v>17</v>
      </c>
      <c r="B8" s="23">
        <v>1110</v>
      </c>
      <c r="C8" s="58">
        <v>13</v>
      </c>
      <c r="D8" s="58">
        <v>12</v>
      </c>
      <c r="E8" s="58">
        <v>36</v>
      </c>
      <c r="F8" s="38">
        <f>D8-C8</f>
        <v>-1</v>
      </c>
      <c r="G8" s="38">
        <f>E8-D8</f>
        <v>24</v>
      </c>
      <c r="H8" s="45">
        <f aca="true" t="shared" si="0" ref="H8:H17">IF(D8-C8=0,0,D8/C8*100)</f>
        <v>92.3076923076923</v>
      </c>
      <c r="I8" s="45">
        <f aca="true" t="shared" si="1" ref="I8:I17">IF(E8-D8=0,0,E8/D8*100)</f>
        <v>300</v>
      </c>
      <c r="J8" s="46">
        <f aca="true" t="shared" si="2" ref="J8:J17">IF(H8=0,0,F8/C8*100)</f>
        <v>-7.6923076923076925</v>
      </c>
      <c r="K8" s="46">
        <f aca="true" t="shared" si="3" ref="K8:K17">IF(I8=0,0,G8/D8*100)</f>
        <v>200</v>
      </c>
    </row>
    <row r="9" spans="1:11" ht="31.5">
      <c r="A9" s="36" t="s">
        <v>18</v>
      </c>
      <c r="B9" s="23">
        <v>1120</v>
      </c>
      <c r="C9" s="58"/>
      <c r="D9" s="58"/>
      <c r="E9" s="58"/>
      <c r="F9" s="38">
        <f aca="true" t="shared" si="4" ref="F9:F17">D9-C9</f>
        <v>0</v>
      </c>
      <c r="G9" s="38">
        <f aca="true" t="shared" si="5" ref="G9:G17">E9-D9</f>
        <v>0</v>
      </c>
      <c r="H9" s="45">
        <f t="shared" si="0"/>
        <v>0</v>
      </c>
      <c r="I9" s="45">
        <f t="shared" si="1"/>
        <v>0</v>
      </c>
      <c r="J9" s="46">
        <f t="shared" si="2"/>
        <v>0</v>
      </c>
      <c r="K9" s="46">
        <f t="shared" si="3"/>
        <v>0</v>
      </c>
    </row>
    <row r="10" spans="1:11" ht="15.75">
      <c r="A10" s="36" t="s">
        <v>19</v>
      </c>
      <c r="B10" s="23">
        <v>1130</v>
      </c>
      <c r="C10" s="58"/>
      <c r="D10" s="58"/>
      <c r="E10" s="58"/>
      <c r="F10" s="38">
        <f t="shared" si="4"/>
        <v>0</v>
      </c>
      <c r="G10" s="38">
        <f t="shared" si="5"/>
        <v>0</v>
      </c>
      <c r="H10" s="45">
        <f t="shared" si="0"/>
        <v>0</v>
      </c>
      <c r="I10" s="45">
        <f t="shared" si="1"/>
        <v>0</v>
      </c>
      <c r="J10" s="46">
        <f t="shared" si="2"/>
        <v>0</v>
      </c>
      <c r="K10" s="46">
        <f t="shared" si="3"/>
        <v>0</v>
      </c>
    </row>
    <row r="11" spans="1:11" ht="15.75">
      <c r="A11" s="36" t="s">
        <v>20</v>
      </c>
      <c r="B11" s="23">
        <v>1140</v>
      </c>
      <c r="C11" s="58"/>
      <c r="D11" s="58"/>
      <c r="E11" s="58"/>
      <c r="F11" s="38">
        <f t="shared" si="4"/>
        <v>0</v>
      </c>
      <c r="G11" s="38">
        <f t="shared" si="5"/>
        <v>0</v>
      </c>
      <c r="H11" s="45">
        <f t="shared" si="0"/>
        <v>0</v>
      </c>
      <c r="I11" s="45">
        <f t="shared" si="1"/>
        <v>0</v>
      </c>
      <c r="J11" s="46">
        <f t="shared" si="2"/>
        <v>0</v>
      </c>
      <c r="K11" s="46">
        <f t="shared" si="3"/>
        <v>0</v>
      </c>
    </row>
    <row r="12" spans="1:11" ht="47.25">
      <c r="A12" s="36" t="s">
        <v>21</v>
      </c>
      <c r="B12" s="23">
        <v>1150</v>
      </c>
      <c r="C12" s="58">
        <v>16681</v>
      </c>
      <c r="D12" s="58">
        <v>17568</v>
      </c>
      <c r="E12" s="58">
        <v>17987</v>
      </c>
      <c r="F12" s="38">
        <f t="shared" si="4"/>
        <v>887</v>
      </c>
      <c r="G12" s="38">
        <f t="shared" si="5"/>
        <v>419</v>
      </c>
      <c r="H12" s="45">
        <f t="shared" si="0"/>
        <v>105.31742701276903</v>
      </c>
      <c r="I12" s="45">
        <f t="shared" si="1"/>
        <v>102.38501821493624</v>
      </c>
      <c r="J12" s="46">
        <f t="shared" si="2"/>
        <v>5.317427012769019</v>
      </c>
      <c r="K12" s="46">
        <f t="shared" si="3"/>
        <v>2.385018214936248</v>
      </c>
    </row>
    <row r="13" spans="1:11" ht="31.5">
      <c r="A13" s="36" t="s">
        <v>22</v>
      </c>
      <c r="B13" s="23">
        <v>1160</v>
      </c>
      <c r="C13" s="58"/>
      <c r="D13" s="58"/>
      <c r="E13" s="58"/>
      <c r="F13" s="38">
        <f t="shared" si="4"/>
        <v>0</v>
      </c>
      <c r="G13" s="38">
        <f t="shared" si="5"/>
        <v>0</v>
      </c>
      <c r="H13" s="45">
        <f t="shared" si="0"/>
        <v>0</v>
      </c>
      <c r="I13" s="45">
        <f t="shared" si="1"/>
        <v>0</v>
      </c>
      <c r="J13" s="46">
        <f t="shared" si="2"/>
        <v>0</v>
      </c>
      <c r="K13" s="46">
        <f t="shared" si="3"/>
        <v>0</v>
      </c>
    </row>
    <row r="14" spans="1:11" ht="15.75">
      <c r="A14" s="36" t="s">
        <v>23</v>
      </c>
      <c r="B14" s="23">
        <v>1170</v>
      </c>
      <c r="C14" s="58">
        <v>356</v>
      </c>
      <c r="D14" s="58">
        <v>340</v>
      </c>
      <c r="E14" s="58">
        <v>373</v>
      </c>
      <c r="F14" s="38">
        <f t="shared" si="4"/>
        <v>-16</v>
      </c>
      <c r="G14" s="38">
        <f t="shared" si="5"/>
        <v>33</v>
      </c>
      <c r="H14" s="45">
        <f t="shared" si="0"/>
        <v>95.50561797752809</v>
      </c>
      <c r="I14" s="45">
        <f t="shared" si="1"/>
        <v>109.70588235294119</v>
      </c>
      <c r="J14" s="46">
        <f t="shared" si="2"/>
        <v>-4.49438202247191</v>
      </c>
      <c r="K14" s="46">
        <f t="shared" si="3"/>
        <v>9.705882352941178</v>
      </c>
    </row>
    <row r="15" spans="1:11" ht="15.75">
      <c r="A15" s="36" t="s">
        <v>24</v>
      </c>
      <c r="B15" s="23">
        <v>1180</v>
      </c>
      <c r="C15" s="58">
        <v>331</v>
      </c>
      <c r="D15" s="58">
        <v>453</v>
      </c>
      <c r="E15" s="58">
        <v>554</v>
      </c>
      <c r="F15" s="38">
        <f t="shared" si="4"/>
        <v>122</v>
      </c>
      <c r="G15" s="38">
        <f t="shared" si="5"/>
        <v>101</v>
      </c>
      <c r="H15" s="45">
        <f t="shared" si="0"/>
        <v>136.85800604229607</v>
      </c>
      <c r="I15" s="45">
        <f t="shared" si="1"/>
        <v>122.29580573951435</v>
      </c>
      <c r="J15" s="46">
        <f t="shared" si="2"/>
        <v>36.85800604229607</v>
      </c>
      <c r="K15" s="46">
        <f t="shared" si="3"/>
        <v>22.29580573951435</v>
      </c>
    </row>
    <row r="16" spans="1:11" ht="15.75">
      <c r="A16" s="36" t="s">
        <v>25</v>
      </c>
      <c r="B16" s="23">
        <v>1190</v>
      </c>
      <c r="C16" s="58"/>
      <c r="D16" s="58"/>
      <c r="E16" s="58"/>
      <c r="F16" s="38">
        <f t="shared" si="4"/>
        <v>0</v>
      </c>
      <c r="G16" s="38">
        <f t="shared" si="5"/>
        <v>0</v>
      </c>
      <c r="H16" s="45">
        <f t="shared" si="0"/>
        <v>0</v>
      </c>
      <c r="I16" s="45">
        <f t="shared" si="1"/>
        <v>0</v>
      </c>
      <c r="J16" s="46">
        <f t="shared" si="2"/>
        <v>0</v>
      </c>
      <c r="K16" s="46">
        <f t="shared" si="3"/>
        <v>0</v>
      </c>
    </row>
    <row r="17" spans="1:12" s="57" customFormat="1" ht="15.75">
      <c r="A17" s="49" t="s">
        <v>26</v>
      </c>
      <c r="B17" s="50">
        <v>1100</v>
      </c>
      <c r="C17" s="51">
        <f>SUM(C8:C16)</f>
        <v>17381</v>
      </c>
      <c r="D17" s="51">
        <f>SUM(D8:D16)</f>
        <v>18373</v>
      </c>
      <c r="E17" s="51">
        <f>SUM(E8:E16)</f>
        <v>18950</v>
      </c>
      <c r="F17" s="53">
        <f t="shared" si="4"/>
        <v>992</v>
      </c>
      <c r="G17" s="53">
        <f t="shared" si="5"/>
        <v>577</v>
      </c>
      <c r="H17" s="54">
        <f t="shared" si="0"/>
        <v>105.707381623612</v>
      </c>
      <c r="I17" s="54">
        <f t="shared" si="1"/>
        <v>103.14047787514286</v>
      </c>
      <c r="J17" s="55">
        <f t="shared" si="2"/>
        <v>5.70738162361199</v>
      </c>
      <c r="K17" s="55">
        <f t="shared" si="3"/>
        <v>3.1404778751428726</v>
      </c>
      <c r="L17" s="56"/>
    </row>
    <row r="18" spans="1:11" ht="15.75">
      <c r="A18" s="117" t="s">
        <v>27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9"/>
    </row>
    <row r="19" spans="1:11" ht="15.75">
      <c r="A19" s="36" t="s">
        <v>28</v>
      </c>
      <c r="B19" s="23">
        <v>1210</v>
      </c>
      <c r="C19" s="58">
        <v>16519.4</v>
      </c>
      <c r="D19" s="58">
        <v>24231</v>
      </c>
      <c r="E19" s="58">
        <v>37448</v>
      </c>
      <c r="F19" s="38">
        <f aca="true" t="shared" si="6" ref="F19:F26">D19-C19</f>
        <v>7711.5999999999985</v>
      </c>
      <c r="G19" s="38">
        <f aca="true" t="shared" si="7" ref="G19:G26">E19-D19</f>
        <v>13217</v>
      </c>
      <c r="H19" s="45">
        <f aca="true" t="shared" si="8" ref="H19:H26">IF(D19-C19=0,0,D19/C19*100)</f>
        <v>146.68208288436625</v>
      </c>
      <c r="I19" s="45">
        <f aca="true" t="shared" si="9" ref="I19:I26">IF(E19-D19=0,0,E19/D19*100)</f>
        <v>154.5458297222566</v>
      </c>
      <c r="J19" s="46">
        <f aca="true" t="shared" si="10" ref="J19:J26">IF(H19=0,0,F19/C19*100)</f>
        <v>46.68208288436625</v>
      </c>
      <c r="K19" s="46">
        <f aca="true" t="shared" si="11" ref="K19:K26">IF(I19=0,0,G19/D19*100)</f>
        <v>54.54582972225661</v>
      </c>
    </row>
    <row r="20" spans="1:11" ht="31.5">
      <c r="A20" s="36" t="s">
        <v>29</v>
      </c>
      <c r="B20" s="23">
        <v>1220</v>
      </c>
      <c r="C20" s="58">
        <v>763.4</v>
      </c>
      <c r="D20" s="58">
        <v>94</v>
      </c>
      <c r="E20" s="58">
        <v>32</v>
      </c>
      <c r="F20" s="38">
        <f t="shared" si="6"/>
        <v>-669.4</v>
      </c>
      <c r="G20" s="38">
        <f t="shared" si="7"/>
        <v>-62</v>
      </c>
      <c r="H20" s="45">
        <f t="shared" si="8"/>
        <v>12.313335079905684</v>
      </c>
      <c r="I20" s="45">
        <f t="shared" si="9"/>
        <v>34.04255319148936</v>
      </c>
      <c r="J20" s="46">
        <f t="shared" si="10"/>
        <v>-87.68666492009432</v>
      </c>
      <c r="K20" s="46">
        <f t="shared" si="11"/>
        <v>-65.95744680851064</v>
      </c>
    </row>
    <row r="21" spans="1:12" ht="15.75">
      <c r="A21" s="36" t="s">
        <v>30</v>
      </c>
      <c r="B21" s="23">
        <v>1230</v>
      </c>
      <c r="C21" s="58">
        <v>7673</v>
      </c>
      <c r="D21" s="58">
        <v>13432</v>
      </c>
      <c r="E21" s="58">
        <v>18701</v>
      </c>
      <c r="F21" s="38">
        <f t="shared" si="6"/>
        <v>5759</v>
      </c>
      <c r="G21" s="38">
        <f t="shared" si="7"/>
        <v>5269</v>
      </c>
      <c r="H21" s="45">
        <f t="shared" si="8"/>
        <v>175.0553890264564</v>
      </c>
      <c r="I21" s="45">
        <f t="shared" si="9"/>
        <v>139.2272185824896</v>
      </c>
      <c r="J21" s="46">
        <f t="shared" si="10"/>
        <v>75.05538902645641</v>
      </c>
      <c r="K21" s="46">
        <f t="shared" si="11"/>
        <v>39.22721858248958</v>
      </c>
      <c r="L21" s="25"/>
    </row>
    <row r="22" spans="1:12" ht="47.25">
      <c r="A22" s="36" t="s">
        <v>31</v>
      </c>
      <c r="B22" s="23">
        <v>1240</v>
      </c>
      <c r="C22" s="58">
        <v>2065</v>
      </c>
      <c r="D22" s="58">
        <v>300</v>
      </c>
      <c r="E22" s="58">
        <v>300</v>
      </c>
      <c r="F22" s="38">
        <f t="shared" si="6"/>
        <v>-1765</v>
      </c>
      <c r="G22" s="38">
        <f t="shared" si="7"/>
        <v>0</v>
      </c>
      <c r="H22" s="45">
        <f t="shared" si="8"/>
        <v>14.527845036319611</v>
      </c>
      <c r="I22" s="45">
        <f t="shared" si="9"/>
        <v>0</v>
      </c>
      <c r="J22" s="46">
        <f t="shared" si="10"/>
        <v>-85.4721549636804</v>
      </c>
      <c r="K22" s="46">
        <f t="shared" si="11"/>
        <v>0</v>
      </c>
      <c r="L22" s="25"/>
    </row>
    <row r="23" spans="1:12" ht="31.5">
      <c r="A23" s="36" t="s">
        <v>32</v>
      </c>
      <c r="B23" s="23">
        <v>1250</v>
      </c>
      <c r="C23" s="58">
        <v>1156</v>
      </c>
      <c r="D23" s="58">
        <v>5183</v>
      </c>
      <c r="E23" s="58">
        <v>9851</v>
      </c>
      <c r="F23" s="38">
        <f t="shared" si="6"/>
        <v>4027</v>
      </c>
      <c r="G23" s="38">
        <f t="shared" si="7"/>
        <v>4668</v>
      </c>
      <c r="H23" s="45">
        <f t="shared" si="8"/>
        <v>448.35640138408303</v>
      </c>
      <c r="I23" s="45">
        <f t="shared" si="9"/>
        <v>190.0636696893691</v>
      </c>
      <c r="J23" s="46">
        <f t="shared" si="10"/>
        <v>348.3564013840831</v>
      </c>
      <c r="K23" s="46">
        <f t="shared" si="11"/>
        <v>90.06366968936909</v>
      </c>
      <c r="L23" s="25"/>
    </row>
    <row r="24" spans="1:12" ht="15.75">
      <c r="A24" s="36" t="s">
        <v>33</v>
      </c>
      <c r="B24" s="23">
        <v>1260</v>
      </c>
      <c r="C24" s="58">
        <v>7</v>
      </c>
      <c r="D24" s="58">
        <v>44</v>
      </c>
      <c r="E24" s="58">
        <v>29</v>
      </c>
      <c r="F24" s="38">
        <f t="shared" si="6"/>
        <v>37</v>
      </c>
      <c r="G24" s="38">
        <f t="shared" si="7"/>
        <v>-15</v>
      </c>
      <c r="H24" s="45">
        <f t="shared" si="8"/>
        <v>628.5714285714286</v>
      </c>
      <c r="I24" s="45">
        <f t="shared" si="9"/>
        <v>65.9090909090909</v>
      </c>
      <c r="J24" s="46">
        <f t="shared" si="10"/>
        <v>528.5714285714286</v>
      </c>
      <c r="K24" s="46">
        <f t="shared" si="11"/>
        <v>-34.090909090909086</v>
      </c>
      <c r="L24" s="25"/>
    </row>
    <row r="25" spans="1:12" s="57" customFormat="1" ht="15.75">
      <c r="A25" s="49" t="s">
        <v>34</v>
      </c>
      <c r="B25" s="50">
        <v>1200</v>
      </c>
      <c r="C25" s="51">
        <f>SUM(C19:C24)</f>
        <v>28183.800000000003</v>
      </c>
      <c r="D25" s="52">
        <f>SUM(D19:D24)</f>
        <v>43284</v>
      </c>
      <c r="E25" s="52">
        <f>SUM(E19:E24)</f>
        <v>66361</v>
      </c>
      <c r="F25" s="53">
        <f t="shared" si="6"/>
        <v>15100.199999999997</v>
      </c>
      <c r="G25" s="53">
        <f t="shared" si="7"/>
        <v>23077</v>
      </c>
      <c r="H25" s="54">
        <f t="shared" si="8"/>
        <v>153.57758712451832</v>
      </c>
      <c r="I25" s="54">
        <f t="shared" si="9"/>
        <v>153.31531281766934</v>
      </c>
      <c r="J25" s="55">
        <f t="shared" si="10"/>
        <v>53.577587124518324</v>
      </c>
      <c r="K25" s="55">
        <f t="shared" si="11"/>
        <v>53.315312817669344</v>
      </c>
      <c r="L25" s="56"/>
    </row>
    <row r="26" spans="1:12" s="27" customFormat="1" ht="15.75">
      <c r="A26" s="20" t="s">
        <v>35</v>
      </c>
      <c r="B26" s="21">
        <v>1600</v>
      </c>
      <c r="C26" s="41">
        <f>C17+C25</f>
        <v>45564.8</v>
      </c>
      <c r="D26" s="41">
        <f>D17+D25</f>
        <v>61657</v>
      </c>
      <c r="E26" s="41">
        <f>E17+E25</f>
        <v>85311</v>
      </c>
      <c r="F26" s="39">
        <f t="shared" si="6"/>
        <v>16092.199999999997</v>
      </c>
      <c r="G26" s="39">
        <f t="shared" si="7"/>
        <v>23654</v>
      </c>
      <c r="H26" s="47">
        <f t="shared" si="8"/>
        <v>135.31717466114193</v>
      </c>
      <c r="I26" s="47">
        <f t="shared" si="9"/>
        <v>138.36385163079618</v>
      </c>
      <c r="J26" s="48">
        <f t="shared" si="10"/>
        <v>35.31717466114193</v>
      </c>
      <c r="K26" s="48">
        <f t="shared" si="11"/>
        <v>38.363851630796184</v>
      </c>
      <c r="L26" s="40"/>
    </row>
    <row r="27" spans="1:11" ht="15.75">
      <c r="A27" s="123" t="s">
        <v>36</v>
      </c>
      <c r="B27" s="123" t="s">
        <v>15</v>
      </c>
      <c r="C27" s="120">
        <f>C4</f>
        <v>2015</v>
      </c>
      <c r="D27" s="120">
        <f>D4</f>
        <v>2016</v>
      </c>
      <c r="E27" s="120">
        <f>E4</f>
        <v>2017</v>
      </c>
      <c r="F27" s="121" t="s">
        <v>8</v>
      </c>
      <c r="G27" s="121"/>
      <c r="H27" s="121" t="s">
        <v>9</v>
      </c>
      <c r="I27" s="121"/>
      <c r="J27" s="122" t="s">
        <v>10</v>
      </c>
      <c r="K27" s="122"/>
    </row>
    <row r="28" spans="1:11" ht="15.75">
      <c r="A28" s="123"/>
      <c r="B28" s="123"/>
      <c r="C28" s="120"/>
      <c r="D28" s="120"/>
      <c r="E28" s="120"/>
      <c r="F28" s="29"/>
      <c r="G28" s="29"/>
      <c r="H28" s="29"/>
      <c r="I28" s="29"/>
      <c r="J28" s="30"/>
      <c r="K28" s="30"/>
    </row>
    <row r="29" spans="1:12" s="35" customFormat="1" ht="31.5">
      <c r="A29" s="31">
        <v>1</v>
      </c>
      <c r="B29" s="24">
        <v>2</v>
      </c>
      <c r="C29" s="24">
        <v>3</v>
      </c>
      <c r="D29" s="24">
        <v>4</v>
      </c>
      <c r="E29" s="24">
        <v>5</v>
      </c>
      <c r="F29" s="32" t="s">
        <v>2</v>
      </c>
      <c r="G29" s="32" t="s">
        <v>3</v>
      </c>
      <c r="H29" s="32" t="s">
        <v>4</v>
      </c>
      <c r="I29" s="32" t="s">
        <v>5</v>
      </c>
      <c r="J29" s="33" t="s">
        <v>6</v>
      </c>
      <c r="K29" s="33" t="s">
        <v>7</v>
      </c>
      <c r="L29" s="34"/>
    </row>
    <row r="30" spans="1:11" ht="15.75">
      <c r="A30" s="117" t="s">
        <v>37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1" ht="47.25">
      <c r="A31" s="36" t="s">
        <v>38</v>
      </c>
      <c r="B31" s="23">
        <v>1310</v>
      </c>
      <c r="C31" s="58">
        <v>1759</v>
      </c>
      <c r="D31" s="58">
        <v>1759</v>
      </c>
      <c r="E31" s="58">
        <v>1759</v>
      </c>
      <c r="F31" s="38">
        <f aca="true" t="shared" si="12" ref="F31:F38">D31-C31</f>
        <v>0</v>
      </c>
      <c r="G31" s="38">
        <f aca="true" t="shared" si="13" ref="G31:G38">E31-D31</f>
        <v>0</v>
      </c>
      <c r="H31" s="45">
        <f>IF(D31-C31=0,0,D31/C31*100)</f>
        <v>0</v>
      </c>
      <c r="I31" s="45">
        <f>IF(E31-D31=0,0,E31/D31*100)</f>
        <v>0</v>
      </c>
      <c r="J31" s="46">
        <f>IF(H31=0,0,F31/C31*100)</f>
        <v>0</v>
      </c>
      <c r="K31" s="46">
        <f>IF(I31=0,0,G31/D31*100)</f>
        <v>0</v>
      </c>
    </row>
    <row r="32" spans="1:11" ht="31.5">
      <c r="A32" s="36" t="s">
        <v>39</v>
      </c>
      <c r="B32" s="23">
        <v>1320</v>
      </c>
      <c r="C32" s="58"/>
      <c r="D32" s="58"/>
      <c r="E32" s="58"/>
      <c r="F32" s="38">
        <f t="shared" si="12"/>
        <v>0</v>
      </c>
      <c r="G32" s="38">
        <f t="shared" si="13"/>
        <v>0</v>
      </c>
      <c r="H32" s="45">
        <f aca="true" t="shared" si="14" ref="H32:H38">IF(D32-C32=0,0,D32/C32*100)</f>
        <v>0</v>
      </c>
      <c r="I32" s="45">
        <f aca="true" t="shared" si="15" ref="I32:I38">IF(E32-D32=0,0,E32/D32*100)</f>
        <v>0</v>
      </c>
      <c r="J32" s="46">
        <f aca="true" t="shared" si="16" ref="J32:J38">IF(H32=0,0,F32/C32*100)</f>
        <v>0</v>
      </c>
      <c r="K32" s="46">
        <f aca="true" t="shared" si="17" ref="K32:K38">IF(I32=0,0,G32/D32*100)</f>
        <v>0</v>
      </c>
    </row>
    <row r="33" spans="1:11" ht="15.75">
      <c r="A33" s="36" t="s">
        <v>40</v>
      </c>
      <c r="B33" s="23">
        <v>1340</v>
      </c>
      <c r="C33" s="58"/>
      <c r="D33" s="58"/>
      <c r="E33" s="58"/>
      <c r="F33" s="38">
        <f t="shared" si="12"/>
        <v>0</v>
      </c>
      <c r="G33" s="38">
        <f t="shared" si="13"/>
        <v>0</v>
      </c>
      <c r="H33" s="45">
        <f t="shared" si="14"/>
        <v>0</v>
      </c>
      <c r="I33" s="45">
        <f t="shared" si="15"/>
        <v>0</v>
      </c>
      <c r="J33" s="46">
        <f t="shared" si="16"/>
        <v>0</v>
      </c>
      <c r="K33" s="46">
        <f t="shared" si="17"/>
        <v>0</v>
      </c>
    </row>
    <row r="34" spans="1:11" ht="31.5">
      <c r="A34" s="36" t="s">
        <v>41</v>
      </c>
      <c r="B34" s="23">
        <v>1350</v>
      </c>
      <c r="C34" s="58">
        <v>24616</v>
      </c>
      <c r="D34" s="58">
        <v>21392</v>
      </c>
      <c r="E34" s="58">
        <v>23195</v>
      </c>
      <c r="F34" s="38">
        <f t="shared" si="12"/>
        <v>-3224</v>
      </c>
      <c r="G34" s="38">
        <f t="shared" si="13"/>
        <v>1803</v>
      </c>
      <c r="H34" s="45">
        <f t="shared" si="14"/>
        <v>86.90282742931427</v>
      </c>
      <c r="I34" s="45">
        <f t="shared" si="15"/>
        <v>108.42838444278236</v>
      </c>
      <c r="J34" s="46">
        <f t="shared" si="16"/>
        <v>-13.097172570685734</v>
      </c>
      <c r="K34" s="46">
        <f t="shared" si="17"/>
        <v>8.428384442782349</v>
      </c>
    </row>
    <row r="35" spans="1:11" ht="15.75">
      <c r="A35" s="36" t="s">
        <v>42</v>
      </c>
      <c r="B35" s="23">
        <v>1360</v>
      </c>
      <c r="C35" s="58"/>
      <c r="D35" s="58">
        <v>88</v>
      </c>
      <c r="E35" s="58">
        <v>88</v>
      </c>
      <c r="F35" s="38">
        <f t="shared" si="12"/>
        <v>88</v>
      </c>
      <c r="G35" s="38">
        <f t="shared" si="13"/>
        <v>0</v>
      </c>
      <c r="H35" s="45" t="e">
        <f t="shared" si="14"/>
        <v>#DIV/0!</v>
      </c>
      <c r="I35" s="45">
        <f t="shared" si="15"/>
        <v>0</v>
      </c>
      <c r="J35" s="46" t="e">
        <f t="shared" si="16"/>
        <v>#DIV/0!</v>
      </c>
      <c r="K35" s="46">
        <f t="shared" si="17"/>
        <v>0</v>
      </c>
    </row>
    <row r="36" spans="1:11" ht="31.5">
      <c r="A36" s="36" t="s">
        <v>43</v>
      </c>
      <c r="B36" s="23">
        <v>1370</v>
      </c>
      <c r="C36" s="58">
        <v>14073</v>
      </c>
      <c r="D36" s="58">
        <v>19784</v>
      </c>
      <c r="E36" s="58">
        <v>28508</v>
      </c>
      <c r="F36" s="38">
        <f t="shared" si="12"/>
        <v>5711</v>
      </c>
      <c r="G36" s="38">
        <f t="shared" si="13"/>
        <v>8724</v>
      </c>
      <c r="H36" s="45">
        <f t="shared" si="14"/>
        <v>140.58125488524124</v>
      </c>
      <c r="I36" s="45">
        <f t="shared" si="15"/>
        <v>144.0962393853619</v>
      </c>
      <c r="J36" s="46">
        <f t="shared" si="16"/>
        <v>40.58125488524124</v>
      </c>
      <c r="K36" s="46">
        <f t="shared" si="17"/>
        <v>44.096239385361905</v>
      </c>
    </row>
    <row r="37" spans="1:11" ht="31.5">
      <c r="A37" s="36" t="s">
        <v>44</v>
      </c>
      <c r="B37" s="23">
        <v>1371</v>
      </c>
      <c r="C37" s="22"/>
      <c r="D37" s="37"/>
      <c r="E37" s="37"/>
      <c r="F37" s="38">
        <f t="shared" si="12"/>
        <v>0</v>
      </c>
      <c r="G37" s="38">
        <f t="shared" si="13"/>
        <v>0</v>
      </c>
      <c r="H37" s="45">
        <f t="shared" si="14"/>
        <v>0</v>
      </c>
      <c r="I37" s="45">
        <f t="shared" si="15"/>
        <v>0</v>
      </c>
      <c r="J37" s="46">
        <f t="shared" si="16"/>
        <v>0</v>
      </c>
      <c r="K37" s="46">
        <f t="shared" si="17"/>
        <v>0</v>
      </c>
    </row>
    <row r="38" spans="1:12" s="57" customFormat="1" ht="15.75">
      <c r="A38" s="49" t="s">
        <v>45</v>
      </c>
      <c r="B38" s="50">
        <v>1300</v>
      </c>
      <c r="C38" s="52">
        <f>SUM(C31:C36)</f>
        <v>40448</v>
      </c>
      <c r="D38" s="52">
        <f>SUM(D31:D36)</f>
        <v>43023</v>
      </c>
      <c r="E38" s="52">
        <f>SUM(E31:E36)</f>
        <v>53550</v>
      </c>
      <c r="F38" s="53">
        <f t="shared" si="12"/>
        <v>2575</v>
      </c>
      <c r="G38" s="53">
        <f t="shared" si="13"/>
        <v>10527</v>
      </c>
      <c r="H38" s="54">
        <f t="shared" si="14"/>
        <v>106.36619857594938</v>
      </c>
      <c r="I38" s="54">
        <f t="shared" si="15"/>
        <v>124.46830764939682</v>
      </c>
      <c r="J38" s="55">
        <f t="shared" si="16"/>
        <v>6.366198575949367</v>
      </c>
      <c r="K38" s="55">
        <f t="shared" si="17"/>
        <v>24.468307649396834</v>
      </c>
      <c r="L38" s="56"/>
    </row>
    <row r="39" spans="1:11" ht="15.75">
      <c r="A39" s="117" t="s">
        <v>46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9"/>
    </row>
    <row r="40" spans="1:11" ht="24" customHeight="1">
      <c r="A40" s="36" t="s">
        <v>47</v>
      </c>
      <c r="B40" s="23">
        <v>1410</v>
      </c>
      <c r="C40" s="58"/>
      <c r="D40" s="58"/>
      <c r="E40" s="58"/>
      <c r="F40" s="38">
        <f aca="true" t="shared" si="18" ref="F40:G44">D40-C40</f>
        <v>0</v>
      </c>
      <c r="G40" s="38">
        <f t="shared" si="18"/>
        <v>0</v>
      </c>
      <c r="H40" s="45">
        <f aca="true" t="shared" si="19" ref="H40:I44">IF(D40-C40=0,0,D40/C40*100)</f>
        <v>0</v>
      </c>
      <c r="I40" s="45">
        <f t="shared" si="19"/>
        <v>0</v>
      </c>
      <c r="J40" s="46">
        <f aca="true" t="shared" si="20" ref="J40:K44">IF(H40=0,0,F40/C40*100)</f>
        <v>0</v>
      </c>
      <c r="K40" s="46">
        <f t="shared" si="20"/>
        <v>0</v>
      </c>
    </row>
    <row r="41" spans="1:11" ht="31.5">
      <c r="A41" s="36" t="s">
        <v>48</v>
      </c>
      <c r="B41" s="23">
        <v>1420</v>
      </c>
      <c r="C41" s="58">
        <v>392</v>
      </c>
      <c r="D41" s="58">
        <v>1104</v>
      </c>
      <c r="E41" s="58">
        <v>1332</v>
      </c>
      <c r="F41" s="38">
        <f t="shared" si="18"/>
        <v>712</v>
      </c>
      <c r="G41" s="38">
        <f t="shared" si="18"/>
        <v>228</v>
      </c>
      <c r="H41" s="45">
        <f t="shared" si="19"/>
        <v>281.6326530612245</v>
      </c>
      <c r="I41" s="45">
        <f t="shared" si="19"/>
        <v>120.65217391304348</v>
      </c>
      <c r="J41" s="46">
        <f t="shared" si="20"/>
        <v>181.6326530612245</v>
      </c>
      <c r="K41" s="46">
        <f t="shared" si="20"/>
        <v>20.652173913043477</v>
      </c>
    </row>
    <row r="42" spans="1:11" ht="15.75">
      <c r="A42" s="36" t="s">
        <v>49</v>
      </c>
      <c r="B42" s="23">
        <v>1430</v>
      </c>
      <c r="C42" s="58"/>
      <c r="D42" s="58"/>
      <c r="E42" s="58"/>
      <c r="F42" s="38">
        <f t="shared" si="18"/>
        <v>0</v>
      </c>
      <c r="G42" s="38">
        <f t="shared" si="18"/>
        <v>0</v>
      </c>
      <c r="H42" s="45">
        <f t="shared" si="19"/>
        <v>0</v>
      </c>
      <c r="I42" s="45">
        <f t="shared" si="19"/>
        <v>0</v>
      </c>
      <c r="J42" s="46">
        <f t="shared" si="20"/>
        <v>0</v>
      </c>
      <c r="K42" s="46">
        <f t="shared" si="20"/>
        <v>0</v>
      </c>
    </row>
    <row r="43" spans="1:11" ht="15.75">
      <c r="A43" s="36" t="s">
        <v>50</v>
      </c>
      <c r="B43" s="23">
        <v>1450</v>
      </c>
      <c r="C43" s="58"/>
      <c r="D43" s="58"/>
      <c r="E43" s="58"/>
      <c r="F43" s="38">
        <f t="shared" si="18"/>
        <v>0</v>
      </c>
      <c r="G43" s="38">
        <f t="shared" si="18"/>
        <v>0</v>
      </c>
      <c r="H43" s="45">
        <f t="shared" si="19"/>
        <v>0</v>
      </c>
      <c r="I43" s="45">
        <f t="shared" si="19"/>
        <v>0</v>
      </c>
      <c r="J43" s="46">
        <f t="shared" si="20"/>
        <v>0</v>
      </c>
      <c r="K43" s="46">
        <f t="shared" si="20"/>
        <v>0</v>
      </c>
    </row>
    <row r="44" spans="1:12" s="57" customFormat="1" ht="15.75">
      <c r="A44" s="49" t="s">
        <v>51</v>
      </c>
      <c r="B44" s="50">
        <v>1400</v>
      </c>
      <c r="C44" s="52">
        <f>SUM(C40:C43)</f>
        <v>392</v>
      </c>
      <c r="D44" s="52">
        <f>SUM(D40:D43)</f>
        <v>1104</v>
      </c>
      <c r="E44" s="52">
        <f>SUM(E40:E43)</f>
        <v>1332</v>
      </c>
      <c r="F44" s="53">
        <f t="shared" si="18"/>
        <v>712</v>
      </c>
      <c r="G44" s="53">
        <f t="shared" si="18"/>
        <v>228</v>
      </c>
      <c r="H44" s="54">
        <f t="shared" si="19"/>
        <v>281.6326530612245</v>
      </c>
      <c r="I44" s="54">
        <f t="shared" si="19"/>
        <v>120.65217391304348</v>
      </c>
      <c r="J44" s="55">
        <f t="shared" si="20"/>
        <v>181.6326530612245</v>
      </c>
      <c r="K44" s="55">
        <f t="shared" si="20"/>
        <v>20.652173913043477</v>
      </c>
      <c r="L44" s="56"/>
    </row>
    <row r="45" spans="1:11" ht="15.75">
      <c r="A45" s="117" t="s">
        <v>52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</row>
    <row r="46" spans="1:11" ht="15.75">
      <c r="A46" s="36" t="s">
        <v>47</v>
      </c>
      <c r="B46" s="23">
        <v>1510</v>
      </c>
      <c r="C46" s="58"/>
      <c r="D46" s="58"/>
      <c r="E46" s="58"/>
      <c r="F46" s="38">
        <f aca="true" t="shared" si="21" ref="F46:F52">D46-C46</f>
        <v>0</v>
      </c>
      <c r="G46" s="38">
        <f aca="true" t="shared" si="22" ref="G46:G52">E46-D46</f>
        <v>0</v>
      </c>
      <c r="H46" s="45">
        <f aca="true" t="shared" si="23" ref="H46:H52">IF(D46-C46=0,0,D46/C46*100)</f>
        <v>0</v>
      </c>
      <c r="I46" s="45">
        <f aca="true" t="shared" si="24" ref="I46:I52">IF(E46-D46=0,0,E46/D46*100)</f>
        <v>0</v>
      </c>
      <c r="J46" s="46">
        <f aca="true" t="shared" si="25" ref="J46:J52">IF(H46=0,0,F46/C46*100)</f>
        <v>0</v>
      </c>
      <c r="K46" s="46">
        <f aca="true" t="shared" si="26" ref="K46:K52">IF(I46=0,0,G46/D46*100)</f>
        <v>0</v>
      </c>
    </row>
    <row r="47" spans="1:11" ht="15.75">
      <c r="A47" s="36" t="s">
        <v>53</v>
      </c>
      <c r="B47" s="23">
        <v>1520</v>
      </c>
      <c r="C47" s="58">
        <v>4694</v>
      </c>
      <c r="D47" s="58">
        <v>17485</v>
      </c>
      <c r="E47" s="58">
        <v>30385</v>
      </c>
      <c r="F47" s="38">
        <f t="shared" si="21"/>
        <v>12791</v>
      </c>
      <c r="G47" s="38">
        <f t="shared" si="22"/>
        <v>12900</v>
      </c>
      <c r="H47" s="45">
        <f t="shared" si="23"/>
        <v>372.49680443118876</v>
      </c>
      <c r="I47" s="45">
        <f t="shared" si="24"/>
        <v>173.77752359165</v>
      </c>
      <c r="J47" s="46">
        <f t="shared" si="25"/>
        <v>272.49680443118876</v>
      </c>
      <c r="K47" s="46">
        <f t="shared" si="26"/>
        <v>73.77752359164998</v>
      </c>
    </row>
    <row r="48" spans="1:11" ht="15.75">
      <c r="A48" s="36" t="s">
        <v>54</v>
      </c>
      <c r="B48" s="23">
        <v>1530</v>
      </c>
      <c r="C48" s="58"/>
      <c r="D48" s="58"/>
      <c r="E48" s="58"/>
      <c r="F48" s="38">
        <f t="shared" si="21"/>
        <v>0</v>
      </c>
      <c r="G48" s="38">
        <f t="shared" si="22"/>
        <v>0</v>
      </c>
      <c r="H48" s="45">
        <f t="shared" si="23"/>
        <v>0</v>
      </c>
      <c r="I48" s="45">
        <f t="shared" si="24"/>
        <v>0</v>
      </c>
      <c r="J48" s="46">
        <f t="shared" si="25"/>
        <v>0</v>
      </c>
      <c r="K48" s="46">
        <f t="shared" si="26"/>
        <v>0</v>
      </c>
    </row>
    <row r="49" spans="1:11" ht="15.75">
      <c r="A49" s="36" t="s">
        <v>49</v>
      </c>
      <c r="B49" s="23">
        <v>1540</v>
      </c>
      <c r="C49" s="58"/>
      <c r="D49" s="58"/>
      <c r="E49" s="58"/>
      <c r="F49" s="38">
        <f t="shared" si="21"/>
        <v>0</v>
      </c>
      <c r="G49" s="38">
        <f t="shared" si="22"/>
        <v>0</v>
      </c>
      <c r="H49" s="45">
        <f t="shared" si="23"/>
        <v>0</v>
      </c>
      <c r="I49" s="45">
        <f t="shared" si="24"/>
        <v>0</v>
      </c>
      <c r="J49" s="46">
        <f t="shared" si="25"/>
        <v>0</v>
      </c>
      <c r="K49" s="46">
        <f t="shared" si="26"/>
        <v>0</v>
      </c>
    </row>
    <row r="50" spans="1:11" ht="35.25" customHeight="1">
      <c r="A50" s="36" t="s">
        <v>185</v>
      </c>
      <c r="B50" s="23">
        <v>1550</v>
      </c>
      <c r="C50" s="58">
        <v>31</v>
      </c>
      <c r="D50" s="58">
        <v>45</v>
      </c>
      <c r="E50" s="58">
        <v>44</v>
      </c>
      <c r="F50" s="38">
        <f t="shared" si="21"/>
        <v>14</v>
      </c>
      <c r="G50" s="38">
        <f t="shared" si="22"/>
        <v>-1</v>
      </c>
      <c r="H50" s="45">
        <f t="shared" si="23"/>
        <v>145.16129032258064</v>
      </c>
      <c r="I50" s="45">
        <f t="shared" si="24"/>
        <v>97.77777777777777</v>
      </c>
      <c r="J50" s="46">
        <f t="shared" si="25"/>
        <v>45.16129032258064</v>
      </c>
      <c r="K50" s="46">
        <f t="shared" si="26"/>
        <v>-2.2222222222222223</v>
      </c>
    </row>
    <row r="51" spans="1:12" s="57" customFormat="1" ht="15.75">
      <c r="A51" s="49" t="s">
        <v>55</v>
      </c>
      <c r="B51" s="50">
        <v>1500</v>
      </c>
      <c r="C51" s="52">
        <f>SUM(C46:C50)</f>
        <v>4725</v>
      </c>
      <c r="D51" s="52">
        <f>SUM(D46:D50)</f>
        <v>17530</v>
      </c>
      <c r="E51" s="52">
        <f>SUM(E46:E50)</f>
        <v>30429</v>
      </c>
      <c r="F51" s="53">
        <f t="shared" si="21"/>
        <v>12805</v>
      </c>
      <c r="G51" s="53">
        <f t="shared" si="22"/>
        <v>12899</v>
      </c>
      <c r="H51" s="54">
        <f t="shared" si="23"/>
        <v>371.005291005291</v>
      </c>
      <c r="I51" s="54">
        <f t="shared" si="24"/>
        <v>173.58243011979465</v>
      </c>
      <c r="J51" s="55">
        <f t="shared" si="25"/>
        <v>271.005291005291</v>
      </c>
      <c r="K51" s="55">
        <f t="shared" si="26"/>
        <v>73.58243011979464</v>
      </c>
      <c r="L51" s="56"/>
    </row>
    <row r="52" spans="1:12" s="27" customFormat="1" ht="15.75">
      <c r="A52" s="20" t="s">
        <v>56</v>
      </c>
      <c r="B52" s="21">
        <v>1700</v>
      </c>
      <c r="C52" s="41">
        <f>C38+C44+C51</f>
        <v>45565</v>
      </c>
      <c r="D52" s="41">
        <f>D38+D44+D51</f>
        <v>61657</v>
      </c>
      <c r="E52" s="41">
        <f>E38+E44+E51</f>
        <v>85311</v>
      </c>
      <c r="F52" s="39">
        <f t="shared" si="21"/>
        <v>16092</v>
      </c>
      <c r="G52" s="39">
        <f t="shared" si="22"/>
        <v>23654</v>
      </c>
      <c r="H52" s="47">
        <f t="shared" si="23"/>
        <v>135.3165807088774</v>
      </c>
      <c r="I52" s="47">
        <f t="shared" si="24"/>
        <v>138.36385163079618</v>
      </c>
      <c r="J52" s="48">
        <f t="shared" si="25"/>
        <v>35.316580708877424</v>
      </c>
      <c r="K52" s="48">
        <f t="shared" si="26"/>
        <v>38.363851630796184</v>
      </c>
      <c r="L52" s="40"/>
    </row>
    <row r="53" spans="3:5" ht="15.75">
      <c r="C53" s="43">
        <f>C26-C52</f>
        <v>-0.19999999999708962</v>
      </c>
      <c r="D53" s="43">
        <f>D26-D52</f>
        <v>0</v>
      </c>
      <c r="E53" s="43">
        <f>E26-E52</f>
        <v>0</v>
      </c>
    </row>
    <row r="54" spans="3:7" ht="15.75">
      <c r="C54" s="25"/>
      <c r="D54" s="26"/>
      <c r="G54" s="43"/>
    </row>
    <row r="55" spans="1:8" ht="15.75">
      <c r="A55" s="25" t="s">
        <v>57</v>
      </c>
      <c r="C55" s="44">
        <f>C44+C51</f>
        <v>5117</v>
      </c>
      <c r="D55" s="44">
        <f>D44+D51</f>
        <v>18634</v>
      </c>
      <c r="E55" s="44">
        <f>E44+E51</f>
        <v>31761</v>
      </c>
      <c r="G55" s="43"/>
      <c r="H55" s="44">
        <f>E38-C38</f>
        <v>13102</v>
      </c>
    </row>
    <row r="56" spans="3:8" ht="15.75">
      <c r="C56" s="44"/>
      <c r="D56" s="44"/>
      <c r="E56" s="44"/>
      <c r="G56" s="43"/>
      <c r="H56" s="44"/>
    </row>
    <row r="57" spans="3:8" ht="15.75">
      <c r="C57" s="44"/>
      <c r="D57" s="44"/>
      <c r="E57" s="44"/>
      <c r="G57" s="43"/>
      <c r="H57" s="44"/>
    </row>
    <row r="58" spans="3:8" ht="15.75">
      <c r="C58" s="44"/>
      <c r="D58" s="44"/>
      <c r="E58" s="44"/>
      <c r="G58" s="43"/>
      <c r="H58" s="44"/>
    </row>
    <row r="59" spans="1:11" ht="15.75">
      <c r="A59" s="124" t="s">
        <v>14</v>
      </c>
      <c r="B59" s="123" t="s">
        <v>15</v>
      </c>
      <c r="C59" s="120">
        <f>C4</f>
        <v>2015</v>
      </c>
      <c r="D59" s="120">
        <f>D4</f>
        <v>2016</v>
      </c>
      <c r="E59" s="120">
        <f>E4</f>
        <v>2017</v>
      </c>
      <c r="F59" s="121" t="s">
        <v>8</v>
      </c>
      <c r="G59" s="121"/>
      <c r="H59" s="121" t="s">
        <v>9</v>
      </c>
      <c r="I59" s="121"/>
      <c r="J59" s="122" t="s">
        <v>10</v>
      </c>
      <c r="K59" s="122"/>
    </row>
    <row r="60" spans="1:11" ht="15.75">
      <c r="A60" s="124"/>
      <c r="B60" s="123"/>
      <c r="C60" s="120"/>
      <c r="D60" s="120"/>
      <c r="E60" s="120"/>
      <c r="F60" s="29"/>
      <c r="G60" s="29"/>
      <c r="H60" s="29"/>
      <c r="I60" s="29"/>
      <c r="J60" s="30"/>
      <c r="K60" s="30"/>
    </row>
    <row r="61" spans="1:11" ht="31.5">
      <c r="A61" s="31">
        <v>1</v>
      </c>
      <c r="B61" s="24">
        <v>2</v>
      </c>
      <c r="C61" s="24">
        <v>3</v>
      </c>
      <c r="D61" s="24">
        <v>4</v>
      </c>
      <c r="E61" s="24">
        <v>5</v>
      </c>
      <c r="F61" s="32" t="s">
        <v>2</v>
      </c>
      <c r="G61" s="32" t="s">
        <v>3</v>
      </c>
      <c r="H61" s="32" t="s">
        <v>4</v>
      </c>
      <c r="I61" s="32" t="s">
        <v>5</v>
      </c>
      <c r="J61" s="33" t="s">
        <v>6</v>
      </c>
      <c r="K61" s="33" t="s">
        <v>7</v>
      </c>
    </row>
    <row r="62" spans="1:11" s="82" customFormat="1" ht="15.75">
      <c r="A62" s="80" t="s">
        <v>30</v>
      </c>
      <c r="B62" s="81" t="s">
        <v>131</v>
      </c>
      <c r="C62" s="88">
        <f>SUM(C64:C73)</f>
        <v>0</v>
      </c>
      <c r="D62" s="88">
        <f>SUM(D64:D73)</f>
        <v>0</v>
      </c>
      <c r="E62" s="88">
        <f>SUM(E64:E73)</f>
        <v>0</v>
      </c>
      <c r="F62" s="39">
        <f aca="true" t="shared" si="27" ref="F62:F83">D62-C62</f>
        <v>0</v>
      </c>
      <c r="G62" s="39">
        <f aca="true" t="shared" si="28" ref="G62:G83">E62-D62</f>
        <v>0</v>
      </c>
      <c r="H62" s="47">
        <f aca="true" t="shared" si="29" ref="H62:H83">IF(D62-C62=0,0,D62/C62*100)</f>
        <v>0</v>
      </c>
      <c r="I62" s="47">
        <f aca="true" t="shared" si="30" ref="I62:I83">IF(E62-D62=0,0,E62/D62*100)</f>
        <v>0</v>
      </c>
      <c r="J62" s="48">
        <f aca="true" t="shared" si="31" ref="J62:J83">IF(H62=0,0,F62/C62*100)</f>
        <v>0</v>
      </c>
      <c r="K62" s="48">
        <f aca="true" t="shared" si="32" ref="K62:K83">IF(I62=0,0,G62/D62*100)</f>
        <v>0</v>
      </c>
    </row>
    <row r="63" spans="1:11" s="83" customFormat="1" ht="15">
      <c r="A63" s="125" t="s">
        <v>128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7"/>
    </row>
    <row r="64" spans="1:11" s="86" customFormat="1" ht="30">
      <c r="A64" s="84" t="s">
        <v>132</v>
      </c>
      <c r="B64" s="85" t="s">
        <v>133</v>
      </c>
      <c r="C64" s="87"/>
      <c r="D64" s="87"/>
      <c r="E64" s="87"/>
      <c r="F64" s="38">
        <f t="shared" si="27"/>
        <v>0</v>
      </c>
      <c r="G64" s="38">
        <f t="shared" si="28"/>
        <v>0</v>
      </c>
      <c r="H64" s="45">
        <f t="shared" si="29"/>
        <v>0</v>
      </c>
      <c r="I64" s="45">
        <f t="shared" si="30"/>
        <v>0</v>
      </c>
      <c r="J64" s="46">
        <f t="shared" si="31"/>
        <v>0</v>
      </c>
      <c r="K64" s="46">
        <f t="shared" si="32"/>
        <v>0</v>
      </c>
    </row>
    <row r="65" spans="1:11" s="86" customFormat="1" ht="30">
      <c r="A65" s="84" t="s">
        <v>134</v>
      </c>
      <c r="B65" s="85" t="s">
        <v>135</v>
      </c>
      <c r="C65" s="87"/>
      <c r="D65" s="87"/>
      <c r="E65" s="87"/>
      <c r="F65" s="38">
        <f t="shared" si="27"/>
        <v>0</v>
      </c>
      <c r="G65" s="38">
        <f t="shared" si="28"/>
        <v>0</v>
      </c>
      <c r="H65" s="45">
        <f t="shared" si="29"/>
        <v>0</v>
      </c>
      <c r="I65" s="45">
        <f t="shared" si="30"/>
        <v>0</v>
      </c>
      <c r="J65" s="46">
        <f t="shared" si="31"/>
        <v>0</v>
      </c>
      <c r="K65" s="46">
        <f t="shared" si="32"/>
        <v>0</v>
      </c>
    </row>
    <row r="66" spans="1:11" s="86" customFormat="1" ht="15.75">
      <c r="A66" s="84" t="s">
        <v>136</v>
      </c>
      <c r="B66" s="85" t="s">
        <v>137</v>
      </c>
      <c r="C66" s="87"/>
      <c r="D66" s="87"/>
      <c r="E66" s="87"/>
      <c r="F66" s="38">
        <f t="shared" si="27"/>
        <v>0</v>
      </c>
      <c r="G66" s="38">
        <f t="shared" si="28"/>
        <v>0</v>
      </c>
      <c r="H66" s="45">
        <f t="shared" si="29"/>
        <v>0</v>
      </c>
      <c r="I66" s="45">
        <f t="shared" si="30"/>
        <v>0</v>
      </c>
      <c r="J66" s="46">
        <f t="shared" si="31"/>
        <v>0</v>
      </c>
      <c r="K66" s="46">
        <f t="shared" si="32"/>
        <v>0</v>
      </c>
    </row>
    <row r="67" spans="1:11" s="86" customFormat="1" ht="30">
      <c r="A67" s="84" t="s">
        <v>138</v>
      </c>
      <c r="B67" s="85" t="s">
        <v>139</v>
      </c>
      <c r="C67" s="87"/>
      <c r="D67" s="87"/>
      <c r="E67" s="87"/>
      <c r="F67" s="38">
        <f t="shared" si="27"/>
        <v>0</v>
      </c>
      <c r="G67" s="38">
        <f t="shared" si="28"/>
        <v>0</v>
      </c>
      <c r="H67" s="45">
        <f t="shared" si="29"/>
        <v>0</v>
      </c>
      <c r="I67" s="45">
        <f t="shared" si="30"/>
        <v>0</v>
      </c>
      <c r="J67" s="46">
        <f t="shared" si="31"/>
        <v>0</v>
      </c>
      <c r="K67" s="46">
        <f t="shared" si="32"/>
        <v>0</v>
      </c>
    </row>
    <row r="68" spans="1:11" s="86" customFormat="1" ht="15.75">
      <c r="A68" s="84" t="s">
        <v>140</v>
      </c>
      <c r="B68" s="85" t="s">
        <v>141</v>
      </c>
      <c r="C68" s="87"/>
      <c r="D68" s="87"/>
      <c r="E68" s="87"/>
      <c r="F68" s="38">
        <f t="shared" si="27"/>
        <v>0</v>
      </c>
      <c r="G68" s="38">
        <f t="shared" si="28"/>
        <v>0</v>
      </c>
      <c r="H68" s="45">
        <f t="shared" si="29"/>
        <v>0</v>
      </c>
      <c r="I68" s="45">
        <f t="shared" si="30"/>
        <v>0</v>
      </c>
      <c r="J68" s="46">
        <f t="shared" si="31"/>
        <v>0</v>
      </c>
      <c r="K68" s="46">
        <f t="shared" si="32"/>
        <v>0</v>
      </c>
    </row>
    <row r="69" spans="1:11" s="86" customFormat="1" ht="30">
      <c r="A69" s="84" t="s">
        <v>142</v>
      </c>
      <c r="B69" s="85" t="s">
        <v>143</v>
      </c>
      <c r="C69" s="87"/>
      <c r="D69" s="87"/>
      <c r="E69" s="87"/>
      <c r="F69" s="38">
        <f t="shared" si="27"/>
        <v>0</v>
      </c>
      <c r="G69" s="38">
        <f t="shared" si="28"/>
        <v>0</v>
      </c>
      <c r="H69" s="45">
        <f t="shared" si="29"/>
        <v>0</v>
      </c>
      <c r="I69" s="45">
        <f t="shared" si="30"/>
        <v>0</v>
      </c>
      <c r="J69" s="46">
        <f t="shared" si="31"/>
        <v>0</v>
      </c>
      <c r="K69" s="46">
        <f t="shared" si="32"/>
        <v>0</v>
      </c>
    </row>
    <row r="70" spans="1:11" s="86" customFormat="1" ht="30">
      <c r="A70" s="84" t="s">
        <v>144</v>
      </c>
      <c r="B70" s="85" t="s">
        <v>145</v>
      </c>
      <c r="C70" s="87"/>
      <c r="D70" s="87"/>
      <c r="E70" s="87"/>
      <c r="F70" s="38">
        <f t="shared" si="27"/>
        <v>0</v>
      </c>
      <c r="G70" s="38">
        <f t="shared" si="28"/>
        <v>0</v>
      </c>
      <c r="H70" s="45">
        <f t="shared" si="29"/>
        <v>0</v>
      </c>
      <c r="I70" s="45">
        <f t="shared" si="30"/>
        <v>0</v>
      </c>
      <c r="J70" s="46">
        <f t="shared" si="31"/>
        <v>0</v>
      </c>
      <c r="K70" s="46">
        <f t="shared" si="32"/>
        <v>0</v>
      </c>
    </row>
    <row r="71" spans="1:11" s="86" customFormat="1" ht="30">
      <c r="A71" s="84" t="s">
        <v>146</v>
      </c>
      <c r="B71" s="85" t="s">
        <v>147</v>
      </c>
      <c r="C71" s="87"/>
      <c r="D71" s="87"/>
      <c r="E71" s="87"/>
      <c r="F71" s="38">
        <f t="shared" si="27"/>
        <v>0</v>
      </c>
      <c r="G71" s="38">
        <f t="shared" si="28"/>
        <v>0</v>
      </c>
      <c r="H71" s="45">
        <f t="shared" si="29"/>
        <v>0</v>
      </c>
      <c r="I71" s="45">
        <f t="shared" si="30"/>
        <v>0</v>
      </c>
      <c r="J71" s="46">
        <f t="shared" si="31"/>
        <v>0</v>
      </c>
      <c r="K71" s="46">
        <f t="shared" si="32"/>
        <v>0</v>
      </c>
    </row>
    <row r="72" spans="1:11" s="86" customFormat="1" ht="30">
      <c r="A72" s="84" t="s">
        <v>148</v>
      </c>
      <c r="B72" s="85" t="s">
        <v>149</v>
      </c>
      <c r="C72" s="87"/>
      <c r="D72" s="87"/>
      <c r="E72" s="87"/>
      <c r="F72" s="38">
        <f t="shared" si="27"/>
        <v>0</v>
      </c>
      <c r="G72" s="38">
        <f t="shared" si="28"/>
        <v>0</v>
      </c>
      <c r="H72" s="45">
        <f t="shared" si="29"/>
        <v>0</v>
      </c>
      <c r="I72" s="45">
        <f t="shared" si="30"/>
        <v>0</v>
      </c>
      <c r="J72" s="46">
        <f t="shared" si="31"/>
        <v>0</v>
      </c>
      <c r="K72" s="46">
        <f t="shared" si="32"/>
        <v>0</v>
      </c>
    </row>
    <row r="73" spans="1:11" s="86" customFormat="1" ht="15.75">
      <c r="A73" s="84" t="s">
        <v>150</v>
      </c>
      <c r="B73" s="85" t="s">
        <v>151</v>
      </c>
      <c r="C73" s="87"/>
      <c r="D73" s="87"/>
      <c r="E73" s="87"/>
      <c r="F73" s="38">
        <f t="shared" si="27"/>
        <v>0</v>
      </c>
      <c r="G73" s="38">
        <f t="shared" si="28"/>
        <v>0</v>
      </c>
      <c r="H73" s="45">
        <f t="shared" si="29"/>
        <v>0</v>
      </c>
      <c r="I73" s="45">
        <f t="shared" si="30"/>
        <v>0</v>
      </c>
      <c r="J73" s="46">
        <f t="shared" si="31"/>
        <v>0</v>
      </c>
      <c r="K73" s="46">
        <f t="shared" si="32"/>
        <v>0</v>
      </c>
    </row>
    <row r="74" spans="1:11" s="82" customFormat="1" ht="15.75">
      <c r="A74" s="80" t="s">
        <v>53</v>
      </c>
      <c r="B74" s="81" t="s">
        <v>152</v>
      </c>
      <c r="C74" s="88">
        <f>SUM(C76:C83)</f>
        <v>0</v>
      </c>
      <c r="D74" s="88">
        <f>SUM(D76:D83)</f>
        <v>0</v>
      </c>
      <c r="E74" s="88">
        <f>SUM(E76:E83)</f>
        <v>0</v>
      </c>
      <c r="F74" s="39">
        <f t="shared" si="27"/>
        <v>0</v>
      </c>
      <c r="G74" s="39">
        <f t="shared" si="28"/>
        <v>0</v>
      </c>
      <c r="H74" s="47">
        <f t="shared" si="29"/>
        <v>0</v>
      </c>
      <c r="I74" s="47">
        <f t="shared" si="30"/>
        <v>0</v>
      </c>
      <c r="J74" s="48">
        <f t="shared" si="31"/>
        <v>0</v>
      </c>
      <c r="K74" s="48">
        <f t="shared" si="32"/>
        <v>0</v>
      </c>
    </row>
    <row r="75" spans="1:11" s="83" customFormat="1" ht="15">
      <c r="A75" s="125" t="s">
        <v>128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7"/>
    </row>
    <row r="76" spans="1:11" s="86" customFormat="1" ht="30">
      <c r="A76" s="84" t="s">
        <v>132</v>
      </c>
      <c r="B76" s="85" t="s">
        <v>153</v>
      </c>
      <c r="C76" s="87"/>
      <c r="D76" s="87"/>
      <c r="E76" s="87"/>
      <c r="F76" s="38">
        <f t="shared" si="27"/>
        <v>0</v>
      </c>
      <c r="G76" s="38">
        <f t="shared" si="28"/>
        <v>0</v>
      </c>
      <c r="H76" s="45">
        <f t="shared" si="29"/>
        <v>0</v>
      </c>
      <c r="I76" s="45">
        <f t="shared" si="30"/>
        <v>0</v>
      </c>
      <c r="J76" s="46">
        <f t="shared" si="31"/>
        <v>0</v>
      </c>
      <c r="K76" s="46">
        <f t="shared" si="32"/>
        <v>0</v>
      </c>
    </row>
    <row r="77" spans="1:11" s="86" customFormat="1" ht="30">
      <c r="A77" s="84" t="s">
        <v>134</v>
      </c>
      <c r="B77" s="85" t="s">
        <v>154</v>
      </c>
      <c r="C77" s="87"/>
      <c r="D77" s="87"/>
      <c r="E77" s="87"/>
      <c r="F77" s="38">
        <f t="shared" si="27"/>
        <v>0</v>
      </c>
      <c r="G77" s="38">
        <f t="shared" si="28"/>
        <v>0</v>
      </c>
      <c r="H77" s="45">
        <f t="shared" si="29"/>
        <v>0</v>
      </c>
      <c r="I77" s="45">
        <f t="shared" si="30"/>
        <v>0</v>
      </c>
      <c r="J77" s="46">
        <f t="shared" si="31"/>
        <v>0</v>
      </c>
      <c r="K77" s="46">
        <f t="shared" si="32"/>
        <v>0</v>
      </c>
    </row>
    <row r="78" spans="1:11" s="86" customFormat="1" ht="15.75">
      <c r="A78" s="84" t="s">
        <v>136</v>
      </c>
      <c r="B78" s="85" t="s">
        <v>155</v>
      </c>
      <c r="C78" s="87"/>
      <c r="D78" s="87"/>
      <c r="E78" s="87"/>
      <c r="F78" s="38">
        <f t="shared" si="27"/>
        <v>0</v>
      </c>
      <c r="G78" s="38">
        <f t="shared" si="28"/>
        <v>0</v>
      </c>
      <c r="H78" s="45">
        <f t="shared" si="29"/>
        <v>0</v>
      </c>
      <c r="I78" s="45">
        <f t="shared" si="30"/>
        <v>0</v>
      </c>
      <c r="J78" s="46">
        <f t="shared" si="31"/>
        <v>0</v>
      </c>
      <c r="K78" s="46">
        <f t="shared" si="32"/>
        <v>0</v>
      </c>
    </row>
    <row r="79" spans="1:11" s="86" customFormat="1" ht="30">
      <c r="A79" s="84" t="s">
        <v>138</v>
      </c>
      <c r="B79" s="85" t="s">
        <v>156</v>
      </c>
      <c r="C79" s="87"/>
      <c r="D79" s="87"/>
      <c r="E79" s="87"/>
      <c r="F79" s="38">
        <f t="shared" si="27"/>
        <v>0</v>
      </c>
      <c r="G79" s="38">
        <f t="shared" si="28"/>
        <v>0</v>
      </c>
      <c r="H79" s="45">
        <f t="shared" si="29"/>
        <v>0</v>
      </c>
      <c r="I79" s="45">
        <f t="shared" si="30"/>
        <v>0</v>
      </c>
      <c r="J79" s="46">
        <f t="shared" si="31"/>
        <v>0</v>
      </c>
      <c r="K79" s="46">
        <f t="shared" si="32"/>
        <v>0</v>
      </c>
    </row>
    <row r="80" spans="1:11" s="86" customFormat="1" ht="30">
      <c r="A80" s="84" t="s">
        <v>157</v>
      </c>
      <c r="B80" s="85" t="s">
        <v>158</v>
      </c>
      <c r="C80" s="87"/>
      <c r="D80" s="87"/>
      <c r="E80" s="87"/>
      <c r="F80" s="38">
        <f t="shared" si="27"/>
        <v>0</v>
      </c>
      <c r="G80" s="38">
        <f t="shared" si="28"/>
        <v>0</v>
      </c>
      <c r="H80" s="45">
        <f t="shared" si="29"/>
        <v>0</v>
      </c>
      <c r="I80" s="45">
        <f t="shared" si="30"/>
        <v>0</v>
      </c>
      <c r="J80" s="46">
        <f t="shared" si="31"/>
        <v>0</v>
      </c>
      <c r="K80" s="46">
        <f t="shared" si="32"/>
        <v>0</v>
      </c>
    </row>
    <row r="81" spans="1:11" s="86" customFormat="1" ht="15.75">
      <c r="A81" s="84" t="s">
        <v>140</v>
      </c>
      <c r="B81" s="85" t="s">
        <v>159</v>
      </c>
      <c r="C81" s="87"/>
      <c r="D81" s="87"/>
      <c r="E81" s="87"/>
      <c r="F81" s="38">
        <f t="shared" si="27"/>
        <v>0</v>
      </c>
      <c r="G81" s="38">
        <f t="shared" si="28"/>
        <v>0</v>
      </c>
      <c r="H81" s="45">
        <f t="shared" si="29"/>
        <v>0</v>
      </c>
      <c r="I81" s="45">
        <f t="shared" si="30"/>
        <v>0</v>
      </c>
      <c r="J81" s="46">
        <f t="shared" si="31"/>
        <v>0</v>
      </c>
      <c r="K81" s="46">
        <f t="shared" si="32"/>
        <v>0</v>
      </c>
    </row>
    <row r="82" spans="1:11" s="86" customFormat="1" ht="30">
      <c r="A82" s="84" t="s">
        <v>160</v>
      </c>
      <c r="B82" s="85" t="s">
        <v>161</v>
      </c>
      <c r="C82" s="87"/>
      <c r="D82" s="87"/>
      <c r="E82" s="87"/>
      <c r="F82" s="38">
        <f t="shared" si="27"/>
        <v>0</v>
      </c>
      <c r="G82" s="38">
        <f t="shared" si="28"/>
        <v>0</v>
      </c>
      <c r="H82" s="45">
        <f t="shared" si="29"/>
        <v>0</v>
      </c>
      <c r="I82" s="45">
        <f t="shared" si="30"/>
        <v>0</v>
      </c>
      <c r="J82" s="46">
        <f t="shared" si="31"/>
        <v>0</v>
      </c>
      <c r="K82" s="46">
        <f t="shared" si="32"/>
        <v>0</v>
      </c>
    </row>
    <row r="83" spans="1:11" s="86" customFormat="1" ht="30">
      <c r="A83" s="84" t="s">
        <v>146</v>
      </c>
      <c r="B83" s="85" t="s">
        <v>162</v>
      </c>
      <c r="C83" s="87"/>
      <c r="D83" s="87"/>
      <c r="E83" s="87"/>
      <c r="F83" s="38">
        <f t="shared" si="27"/>
        <v>0</v>
      </c>
      <c r="G83" s="38">
        <f t="shared" si="28"/>
        <v>0</v>
      </c>
      <c r="H83" s="45">
        <f t="shared" si="29"/>
        <v>0</v>
      </c>
      <c r="I83" s="45">
        <f t="shared" si="30"/>
        <v>0</v>
      </c>
      <c r="J83" s="46">
        <f t="shared" si="31"/>
        <v>0</v>
      </c>
      <c r="K83" s="46">
        <f t="shared" si="32"/>
        <v>0</v>
      </c>
    </row>
    <row r="84" spans="2:12" ht="15.75">
      <c r="B84" s="25"/>
      <c r="C84" s="25"/>
      <c r="G84" s="25"/>
      <c r="J84" s="25"/>
      <c r="K84" s="25"/>
      <c r="L84" s="25"/>
    </row>
    <row r="85" spans="7:12" ht="15.75">
      <c r="G85" s="25"/>
      <c r="J85" s="25"/>
      <c r="K85" s="25"/>
      <c r="L85" s="25"/>
    </row>
    <row r="86" spans="7:12" ht="15.75">
      <c r="G86" s="25"/>
      <c r="J86" s="25"/>
      <c r="K86" s="25"/>
      <c r="L86" s="25"/>
    </row>
    <row r="87" spans="7:12" ht="15.75">
      <c r="G87" s="25"/>
      <c r="J87" s="25"/>
      <c r="K87" s="25"/>
      <c r="L87" s="25"/>
    </row>
    <row r="88" spans="7:12" ht="15.75">
      <c r="G88" s="25"/>
      <c r="J88" s="25"/>
      <c r="K88" s="25"/>
      <c r="L88" s="25"/>
    </row>
    <row r="89" spans="7:12" ht="15.75">
      <c r="G89" s="25"/>
      <c r="J89" s="25"/>
      <c r="K89" s="25"/>
      <c r="L89" s="25"/>
    </row>
    <row r="90" spans="7:12" ht="15.75">
      <c r="G90" s="25"/>
      <c r="J90" s="25"/>
      <c r="K90" s="25"/>
      <c r="L90" s="25"/>
    </row>
    <row r="91" spans="7:12" ht="15.75">
      <c r="G91" s="25"/>
      <c r="J91" s="25"/>
      <c r="K91" s="25"/>
      <c r="L91" s="25"/>
    </row>
  </sheetData>
  <sheetProtection/>
  <mergeCells count="31">
    <mergeCell ref="H59:I59"/>
    <mergeCell ref="J59:K59"/>
    <mergeCell ref="A75:K75"/>
    <mergeCell ref="A63:K63"/>
    <mergeCell ref="C59:C60"/>
    <mergeCell ref="D59:D60"/>
    <mergeCell ref="E59:E60"/>
    <mergeCell ref="F59:G59"/>
    <mergeCell ref="A59:A60"/>
    <mergeCell ref="B59:B60"/>
    <mergeCell ref="F4:G4"/>
    <mergeCell ref="H4:I4"/>
    <mergeCell ref="J4:K4"/>
    <mergeCell ref="A4:A5"/>
    <mergeCell ref="B4:B5"/>
    <mergeCell ref="C4:C5"/>
    <mergeCell ref="D4:D5"/>
    <mergeCell ref="B27:B28"/>
    <mergeCell ref="C27:C28"/>
    <mergeCell ref="D27:D28"/>
    <mergeCell ref="E4:E5"/>
    <mergeCell ref="A45:K45"/>
    <mergeCell ref="A7:K7"/>
    <mergeCell ref="A18:K18"/>
    <mergeCell ref="A30:K30"/>
    <mergeCell ref="A39:K39"/>
    <mergeCell ref="E27:E28"/>
    <mergeCell ref="F27:G27"/>
    <mergeCell ref="H27:I27"/>
    <mergeCell ref="J27:K27"/>
    <mergeCell ref="A27:A28"/>
  </mergeCells>
  <printOptions/>
  <pageMargins left="0.75" right="0.75" top="0.51" bottom="0.52" header="0.5" footer="0.5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9"/>
  <sheetViews>
    <sheetView zoomScale="75" zoomScaleNormal="75" workbookViewId="0" topLeftCell="A1">
      <selection activeCell="A22" sqref="A22"/>
    </sheetView>
  </sheetViews>
  <sheetFormatPr defaultColWidth="17.00390625" defaultRowHeight="12.75"/>
  <cols>
    <col min="1" max="1" width="35.00390625" style="14" customWidth="1"/>
    <col min="2" max="2" width="10.00390625" style="15" customWidth="1"/>
    <col min="3" max="3" width="18.875" style="14" customWidth="1"/>
    <col min="4" max="4" width="16.625" style="14" customWidth="1"/>
    <col min="5" max="5" width="18.875" style="14" customWidth="1"/>
    <col min="6" max="6" width="16.75390625" style="14" customWidth="1"/>
    <col min="7" max="7" width="18.875" style="19" customWidth="1"/>
    <col min="8" max="8" width="15.125" style="14" customWidth="1"/>
    <col min="9" max="16384" width="17.00390625" style="14" customWidth="1"/>
  </cols>
  <sheetData>
    <row r="1" spans="1:7" ht="15.75">
      <c r="A1" s="14" t="s">
        <v>12</v>
      </c>
      <c r="G1" s="14"/>
    </row>
    <row r="2" spans="1:7" ht="15.75">
      <c r="A2" s="1">
        <f>баланс!A2</f>
        <v>0</v>
      </c>
      <c r="B2" s="16"/>
      <c r="G2" s="14"/>
    </row>
    <row r="3" spans="1:7" ht="15.75">
      <c r="A3" s="17" t="s">
        <v>58</v>
      </c>
      <c r="C3" s="18"/>
      <c r="D3" s="18"/>
      <c r="E3" s="18"/>
      <c r="F3" s="18"/>
      <c r="G3" s="14"/>
    </row>
    <row r="4" spans="1:10" s="93" customFormat="1" ht="15">
      <c r="A4" s="131" t="s">
        <v>14</v>
      </c>
      <c r="B4" s="132" t="s">
        <v>59</v>
      </c>
      <c r="C4" s="128">
        <f>баланс!C4</f>
        <v>2015</v>
      </c>
      <c r="D4" s="128"/>
      <c r="E4" s="128">
        <f>баланс!D4</f>
        <v>2016</v>
      </c>
      <c r="F4" s="128"/>
      <c r="G4" s="128">
        <f>баланс!E4</f>
        <v>2017</v>
      </c>
      <c r="H4" s="128"/>
      <c r="I4" s="129" t="s">
        <v>115</v>
      </c>
      <c r="J4" s="129"/>
    </row>
    <row r="5" spans="1:10" s="93" customFormat="1" ht="30">
      <c r="A5" s="131"/>
      <c r="B5" s="132"/>
      <c r="C5" s="106" t="s">
        <v>163</v>
      </c>
      <c r="D5" s="106" t="s">
        <v>164</v>
      </c>
      <c r="E5" s="106" t="s">
        <v>163</v>
      </c>
      <c r="F5" s="106" t="s">
        <v>164</v>
      </c>
      <c r="G5" s="106" t="s">
        <v>163</v>
      </c>
      <c r="H5" s="106" t="s">
        <v>164</v>
      </c>
      <c r="I5" s="79" t="s">
        <v>130</v>
      </c>
      <c r="J5" s="79" t="s">
        <v>9</v>
      </c>
    </row>
    <row r="6" spans="1:10" s="89" customFormat="1" ht="15">
      <c r="A6" s="130" t="s">
        <v>60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s="93" customFormat="1" ht="15">
      <c r="A7" s="91" t="s">
        <v>61</v>
      </c>
      <c r="B7" s="92">
        <v>2110</v>
      </c>
      <c r="C7" s="107">
        <v>259197748</v>
      </c>
      <c r="D7" s="108">
        <f aca="true" t="shared" si="0" ref="D7:D12">C7/$C$7*100</f>
        <v>100</v>
      </c>
      <c r="E7" s="107">
        <v>316540706</v>
      </c>
      <c r="F7" s="108">
        <f>E7/$E$7*100</f>
        <v>100</v>
      </c>
      <c r="G7" s="107">
        <v>223419850</v>
      </c>
      <c r="H7" s="108">
        <f>G7/$G$7*100</f>
        <v>100</v>
      </c>
      <c r="I7" s="110">
        <f aca="true" t="shared" si="1" ref="I7:I12">G7-E7</f>
        <v>-93120856</v>
      </c>
      <c r="J7" s="111">
        <f>G7/E7*100</f>
        <v>70.58171216690216</v>
      </c>
    </row>
    <row r="8" spans="1:13" s="89" customFormat="1" ht="15">
      <c r="A8" s="94" t="s">
        <v>62</v>
      </c>
      <c r="B8" s="92">
        <v>2120</v>
      </c>
      <c r="C8" s="107">
        <v>21896068</v>
      </c>
      <c r="D8" s="108">
        <f t="shared" si="0"/>
        <v>8.447630494073582</v>
      </c>
      <c r="E8" s="107">
        <v>18041793</v>
      </c>
      <c r="F8" s="108">
        <f aca="true" t="shared" si="2" ref="F8:F24">E8/$E$7*100</f>
        <v>5.699675478704467</v>
      </c>
      <c r="G8" s="107">
        <v>19364531</v>
      </c>
      <c r="H8" s="108">
        <f aca="true" t="shared" si="3" ref="H8:H24">G8/$G$7*100</f>
        <v>8.6673279030489</v>
      </c>
      <c r="I8" s="110">
        <f t="shared" si="1"/>
        <v>1322738</v>
      </c>
      <c r="J8" s="111">
        <f aca="true" t="shared" si="4" ref="J8:J24">G8/E8*100</f>
        <v>107.33152187257664</v>
      </c>
      <c r="K8" s="95"/>
      <c r="L8" s="95"/>
      <c r="M8" s="95"/>
    </row>
    <row r="9" spans="1:13" s="99" customFormat="1" ht="15">
      <c r="A9" s="90" t="s">
        <v>63</v>
      </c>
      <c r="B9" s="96">
        <v>2100</v>
      </c>
      <c r="C9" s="97">
        <f>C7-C8</f>
        <v>237301680</v>
      </c>
      <c r="D9" s="108">
        <f t="shared" si="0"/>
        <v>91.5523695059264</v>
      </c>
      <c r="E9" s="97">
        <f>E7-E8</f>
        <v>298498913</v>
      </c>
      <c r="F9" s="108">
        <f t="shared" si="2"/>
        <v>94.30032452129554</v>
      </c>
      <c r="G9" s="97">
        <f>G7-G8</f>
        <v>204055319</v>
      </c>
      <c r="H9" s="108">
        <f t="shared" si="3"/>
        <v>91.3326720969511</v>
      </c>
      <c r="I9" s="110">
        <f t="shared" si="1"/>
        <v>-94443594</v>
      </c>
      <c r="J9" s="111">
        <f t="shared" si="4"/>
        <v>68.36048980855082</v>
      </c>
      <c r="K9" s="98"/>
      <c r="L9" s="98"/>
      <c r="M9" s="98"/>
    </row>
    <row r="10" spans="1:13" s="89" customFormat="1" ht="15">
      <c r="A10" s="94" t="s">
        <v>64</v>
      </c>
      <c r="B10" s="92">
        <v>2210</v>
      </c>
      <c r="C10" s="107">
        <v>1607869</v>
      </c>
      <c r="D10" s="108">
        <f t="shared" si="0"/>
        <v>0.6203252198009066</v>
      </c>
      <c r="E10" s="107">
        <f>3478855</f>
        <v>3478855</v>
      </c>
      <c r="F10" s="108">
        <f t="shared" si="2"/>
        <v>1.0990229484103065</v>
      </c>
      <c r="G10" s="107">
        <v>1899327</v>
      </c>
      <c r="H10" s="108">
        <f t="shared" si="3"/>
        <v>0.8501156007400417</v>
      </c>
      <c r="I10" s="110">
        <f t="shared" si="1"/>
        <v>-1579528</v>
      </c>
      <c r="J10" s="111">
        <f t="shared" si="4"/>
        <v>54.596325515147946</v>
      </c>
      <c r="K10" s="100"/>
      <c r="L10" s="95"/>
      <c r="M10" s="95"/>
    </row>
    <row r="11" spans="1:13" s="89" customFormat="1" ht="15">
      <c r="A11" s="94" t="s">
        <v>65</v>
      </c>
      <c r="B11" s="92">
        <v>2220</v>
      </c>
      <c r="C11" s="107">
        <v>22723125</v>
      </c>
      <c r="D11" s="108">
        <f t="shared" si="0"/>
        <v>8.76671389907292</v>
      </c>
      <c r="E11" s="107">
        <v>24161685</v>
      </c>
      <c r="F11" s="108">
        <f t="shared" si="2"/>
        <v>7.633041988602882</v>
      </c>
      <c r="G11" s="107">
        <v>44409672</v>
      </c>
      <c r="H11" s="108">
        <f t="shared" si="3"/>
        <v>19.877227560577094</v>
      </c>
      <c r="I11" s="110">
        <f t="shared" si="1"/>
        <v>20247987</v>
      </c>
      <c r="J11" s="111">
        <f t="shared" si="4"/>
        <v>183.80204857401296</v>
      </c>
      <c r="K11" s="95"/>
      <c r="L11" s="95"/>
      <c r="M11" s="95"/>
    </row>
    <row r="12" spans="1:13" s="99" customFormat="1" ht="15">
      <c r="A12" s="90" t="s">
        <v>66</v>
      </c>
      <c r="B12" s="96">
        <v>2200</v>
      </c>
      <c r="C12" s="97">
        <f>C9-C10-C11</f>
        <v>212970686</v>
      </c>
      <c r="D12" s="108">
        <f t="shared" si="0"/>
        <v>82.16533038705259</v>
      </c>
      <c r="E12" s="97">
        <f>E9-E10-E11</f>
        <v>270858373</v>
      </c>
      <c r="F12" s="108">
        <f t="shared" si="2"/>
        <v>85.56825958428234</v>
      </c>
      <c r="G12" s="97">
        <f>G9-G10-G11</f>
        <v>157746320</v>
      </c>
      <c r="H12" s="108">
        <f t="shared" si="3"/>
        <v>70.60532893563396</v>
      </c>
      <c r="I12" s="110">
        <f t="shared" si="1"/>
        <v>-113112053</v>
      </c>
      <c r="J12" s="111">
        <f t="shared" si="4"/>
        <v>58.239410601495415</v>
      </c>
      <c r="K12" s="98"/>
      <c r="L12" s="98"/>
      <c r="M12" s="98"/>
    </row>
    <row r="13" spans="1:10" s="89" customFormat="1" ht="15">
      <c r="A13" s="130" t="s">
        <v>67</v>
      </c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10" s="89" customFormat="1" ht="30">
      <c r="A14" s="94" t="s">
        <v>68</v>
      </c>
      <c r="B14" s="92">
        <v>2310</v>
      </c>
      <c r="C14" s="107"/>
      <c r="D14" s="108">
        <f aca="true" t="shared" si="5" ref="D14:D24">C14/$C$7*100</f>
        <v>0</v>
      </c>
      <c r="E14" s="107"/>
      <c r="F14" s="108">
        <f t="shared" si="2"/>
        <v>0</v>
      </c>
      <c r="G14" s="107"/>
      <c r="H14" s="108">
        <f t="shared" si="3"/>
        <v>0</v>
      </c>
      <c r="I14" s="110">
        <f aca="true" t="shared" si="6" ref="I14:I24">G14-E14</f>
        <v>0</v>
      </c>
      <c r="J14" s="111" t="e">
        <f t="shared" si="4"/>
        <v>#DIV/0!</v>
      </c>
    </row>
    <row r="15" spans="1:10" s="89" customFormat="1" ht="15">
      <c r="A15" s="94" t="s">
        <v>69</v>
      </c>
      <c r="B15" s="92">
        <v>2320</v>
      </c>
      <c r="C15" s="107">
        <v>66565274</v>
      </c>
      <c r="D15" s="108">
        <f t="shared" si="5"/>
        <v>25.681270193751836</v>
      </c>
      <c r="E15" s="107">
        <v>67435282</v>
      </c>
      <c r="F15" s="108">
        <f t="shared" si="2"/>
        <v>21.30382624470421</v>
      </c>
      <c r="G15" s="107">
        <v>65725955</v>
      </c>
      <c r="H15" s="108">
        <f t="shared" si="3"/>
        <v>29.41813585498334</v>
      </c>
      <c r="I15" s="110">
        <f t="shared" si="6"/>
        <v>-1709327</v>
      </c>
      <c r="J15" s="111">
        <f t="shared" si="4"/>
        <v>97.46523340704648</v>
      </c>
    </row>
    <row r="16" spans="1:10" s="89" customFormat="1" ht="15">
      <c r="A16" s="94" t="s">
        <v>70</v>
      </c>
      <c r="B16" s="92">
        <v>2330</v>
      </c>
      <c r="C16" s="107">
        <v>42937268</v>
      </c>
      <c r="D16" s="108">
        <f t="shared" si="5"/>
        <v>16.565447937456618</v>
      </c>
      <c r="E16" s="107">
        <v>51353028</v>
      </c>
      <c r="F16" s="108">
        <f t="shared" si="2"/>
        <v>16.223198794533552</v>
      </c>
      <c r="G16" s="107">
        <v>36834167</v>
      </c>
      <c r="H16" s="108">
        <f t="shared" si="3"/>
        <v>16.486523914504463</v>
      </c>
      <c r="I16" s="110">
        <f t="shared" si="6"/>
        <v>-14518861</v>
      </c>
      <c r="J16" s="111">
        <f t="shared" si="4"/>
        <v>71.72735169579484</v>
      </c>
    </row>
    <row r="17" spans="1:14" s="89" customFormat="1" ht="15">
      <c r="A17" s="94" t="s">
        <v>71</v>
      </c>
      <c r="B17" s="92">
        <v>2340</v>
      </c>
      <c r="C17" s="107">
        <v>99026992</v>
      </c>
      <c r="D17" s="108">
        <f t="shared" si="5"/>
        <v>38.205189961758464</v>
      </c>
      <c r="E17" s="107">
        <v>4370750</v>
      </c>
      <c r="F17" s="108">
        <f t="shared" si="2"/>
        <v>1.3807860781102828</v>
      </c>
      <c r="G17" s="107">
        <v>68649023</v>
      </c>
      <c r="H17" s="108">
        <f t="shared" si="3"/>
        <v>30.726465441633767</v>
      </c>
      <c r="I17" s="110">
        <f t="shared" si="6"/>
        <v>64278273</v>
      </c>
      <c r="J17" s="111">
        <f t="shared" si="4"/>
        <v>1570.6462964022194</v>
      </c>
      <c r="L17" s="101"/>
      <c r="M17" s="101"/>
      <c r="N17" s="102"/>
    </row>
    <row r="18" spans="1:10" s="89" customFormat="1" ht="15">
      <c r="A18" s="94" t="s">
        <v>72</v>
      </c>
      <c r="B18" s="92">
        <v>2350</v>
      </c>
      <c r="C18" s="107">
        <v>10527867</v>
      </c>
      <c r="D18" s="108">
        <f t="shared" si="5"/>
        <v>4.0617123725936075</v>
      </c>
      <c r="E18" s="107">
        <v>108511599</v>
      </c>
      <c r="F18" s="108">
        <f t="shared" si="2"/>
        <v>34.2804564920633</v>
      </c>
      <c r="G18" s="107">
        <v>41563653</v>
      </c>
      <c r="H18" s="108">
        <f t="shared" si="3"/>
        <v>18.603384166626196</v>
      </c>
      <c r="I18" s="110">
        <f t="shared" si="6"/>
        <v>-66947946</v>
      </c>
      <c r="J18" s="111">
        <f t="shared" si="4"/>
        <v>38.30341952660747</v>
      </c>
    </row>
    <row r="19" spans="1:13" s="99" customFormat="1" ht="28.5">
      <c r="A19" s="90" t="s">
        <v>73</v>
      </c>
      <c r="B19" s="96">
        <v>2300</v>
      </c>
      <c r="C19" s="97">
        <f>C12+C14+C15-C16+C17-C18</f>
        <v>325097817</v>
      </c>
      <c r="D19" s="108">
        <f t="shared" si="5"/>
        <v>125.42463023251267</v>
      </c>
      <c r="E19" s="97">
        <f>E12+E14+E15-E16+E17-E18</f>
        <v>182799778</v>
      </c>
      <c r="F19" s="108">
        <f t="shared" si="2"/>
        <v>57.749216620499986</v>
      </c>
      <c r="G19" s="97">
        <f>G12+G14+G15-G16+G17-G18</f>
        <v>213723478</v>
      </c>
      <c r="H19" s="108">
        <f t="shared" si="3"/>
        <v>95.66002215112042</v>
      </c>
      <c r="I19" s="110">
        <f t="shared" si="6"/>
        <v>30923700</v>
      </c>
      <c r="J19" s="111">
        <f t="shared" si="4"/>
        <v>116.91670544588955</v>
      </c>
      <c r="K19" s="98"/>
      <c r="L19" s="98"/>
      <c r="M19" s="98"/>
    </row>
    <row r="20" spans="1:12" s="89" customFormat="1" ht="15">
      <c r="A20" s="94" t="s">
        <v>74</v>
      </c>
      <c r="B20" s="103">
        <v>2410</v>
      </c>
      <c r="C20" s="107">
        <v>24620694</v>
      </c>
      <c r="D20" s="108">
        <f t="shared" si="5"/>
        <v>9.498807065252743</v>
      </c>
      <c r="E20" s="107">
        <v>16099523</v>
      </c>
      <c r="F20" s="108">
        <f t="shared" si="2"/>
        <v>5.086082988644121</v>
      </c>
      <c r="G20" s="107">
        <v>12302891</v>
      </c>
      <c r="H20" s="108">
        <f t="shared" si="3"/>
        <v>5.50662396380626</v>
      </c>
      <c r="I20" s="110">
        <f t="shared" si="6"/>
        <v>-3796632</v>
      </c>
      <c r="J20" s="111">
        <f t="shared" si="4"/>
        <v>76.41773610311311</v>
      </c>
      <c r="K20" s="95"/>
      <c r="L20" s="95"/>
    </row>
    <row r="21" spans="1:10" s="89" customFormat="1" ht="30">
      <c r="A21" s="94" t="s">
        <v>75</v>
      </c>
      <c r="B21" s="103">
        <v>2430</v>
      </c>
      <c r="C21" s="104">
        <v>47452</v>
      </c>
      <c r="D21" s="108">
        <f t="shared" si="5"/>
        <v>0.018307257823860414</v>
      </c>
      <c r="E21" s="104">
        <v>76116</v>
      </c>
      <c r="F21" s="108">
        <f t="shared" si="2"/>
        <v>0.024046196447164048</v>
      </c>
      <c r="G21" s="104">
        <v>43956</v>
      </c>
      <c r="H21" s="108">
        <f t="shared" si="3"/>
        <v>0.019674169506424786</v>
      </c>
      <c r="I21" s="110">
        <f t="shared" si="6"/>
        <v>-32160</v>
      </c>
      <c r="J21" s="111">
        <f t="shared" si="4"/>
        <v>57.74869935361816</v>
      </c>
    </row>
    <row r="22" spans="1:10" s="89" customFormat="1" ht="30">
      <c r="A22" s="94" t="s">
        <v>76</v>
      </c>
      <c r="B22" s="103">
        <v>2450</v>
      </c>
      <c r="C22" s="104">
        <v>46569</v>
      </c>
      <c r="D22" s="108">
        <f t="shared" si="5"/>
        <v>0.017966591283810073</v>
      </c>
      <c r="E22" s="104">
        <v>39256</v>
      </c>
      <c r="F22" s="108">
        <f t="shared" si="2"/>
        <v>0.012401564555807872</v>
      </c>
      <c r="G22" s="104">
        <v>2713694</v>
      </c>
      <c r="H22" s="108">
        <f t="shared" si="3"/>
        <v>1.2146163378052577</v>
      </c>
      <c r="I22" s="110">
        <f t="shared" si="6"/>
        <v>2674438</v>
      </c>
      <c r="J22" s="111">
        <f t="shared" si="4"/>
        <v>6912.81332789892</v>
      </c>
    </row>
    <row r="23" spans="1:10" s="89" customFormat="1" ht="15">
      <c r="A23" s="94" t="s">
        <v>77</v>
      </c>
      <c r="B23" s="103">
        <v>2460</v>
      </c>
      <c r="C23" s="104">
        <v>34976</v>
      </c>
      <c r="D23" s="108">
        <f t="shared" si="5"/>
        <v>0.013493944399547793</v>
      </c>
      <c r="E23" s="104">
        <v>168522</v>
      </c>
      <c r="F23" s="108">
        <f t="shared" si="2"/>
        <v>0.05323865045022045</v>
      </c>
      <c r="G23" s="104">
        <v>97832</v>
      </c>
      <c r="H23" s="108">
        <f t="shared" si="3"/>
        <v>0.043788410027130534</v>
      </c>
      <c r="I23" s="110">
        <f t="shared" si="6"/>
        <v>-70690</v>
      </c>
      <c r="J23" s="111">
        <f t="shared" si="4"/>
        <v>58.05295451039033</v>
      </c>
    </row>
    <row r="24" spans="1:13" s="99" customFormat="1" ht="15">
      <c r="A24" s="90" t="s">
        <v>78</v>
      </c>
      <c r="B24" s="105">
        <v>2400</v>
      </c>
      <c r="C24" s="107">
        <v>302294681</v>
      </c>
      <c r="D24" s="108">
        <f t="shared" si="5"/>
        <v>116.62704762388599</v>
      </c>
      <c r="E24" s="109">
        <v>182566224</v>
      </c>
      <c r="F24" s="108">
        <f t="shared" si="2"/>
        <v>57.675433376963525</v>
      </c>
      <c r="G24" s="109">
        <v>204363706</v>
      </c>
      <c r="H24" s="108">
        <f t="shared" si="3"/>
        <v>91.47070235701975</v>
      </c>
      <c r="I24" s="110">
        <f t="shared" si="6"/>
        <v>21797482</v>
      </c>
      <c r="J24" s="111">
        <f t="shared" si="4"/>
        <v>111.93949325478737</v>
      </c>
      <c r="K24" s="98"/>
      <c r="L24" s="98"/>
      <c r="M24" s="98"/>
    </row>
    <row r="26" spans="1:7" ht="15.75">
      <c r="A26" s="14" t="s">
        <v>125</v>
      </c>
      <c r="C26" s="14">
        <v>723999</v>
      </c>
      <c r="E26" s="14">
        <v>807291</v>
      </c>
      <c r="G26" s="19">
        <v>900664</v>
      </c>
    </row>
    <row r="28" spans="1:7" ht="15.75">
      <c r="A28" s="14" t="s">
        <v>126</v>
      </c>
      <c r="C28" s="14">
        <f>C19+C16</f>
        <v>368035085</v>
      </c>
      <c r="E28" s="14">
        <f>E19+E16</f>
        <v>234152806</v>
      </c>
      <c r="G28" s="14">
        <f>G19+G16</f>
        <v>250557645</v>
      </c>
    </row>
    <row r="29" spans="1:7" ht="15.75">
      <c r="A29" s="14" t="s">
        <v>127</v>
      </c>
      <c r="C29" s="14">
        <f>C19+C26+C16</f>
        <v>368759084</v>
      </c>
      <c r="E29" s="14">
        <f>E19+E26+E16</f>
        <v>234960097</v>
      </c>
      <c r="G29" s="14">
        <f>G19+G26+G16</f>
        <v>251458309</v>
      </c>
    </row>
  </sheetData>
  <sheetProtection/>
  <mergeCells count="8">
    <mergeCell ref="G4:H4"/>
    <mergeCell ref="I4:J4"/>
    <mergeCell ref="A6:J6"/>
    <mergeCell ref="A13:J13"/>
    <mergeCell ref="A4:A5"/>
    <mergeCell ref="B4:B5"/>
    <mergeCell ref="C4:D4"/>
    <mergeCell ref="E4:F4"/>
  </mergeCells>
  <printOptions/>
  <pageMargins left="0.75" right="0.75" top="0.51" bottom="0.51" header="0.5" footer="0.5"/>
  <pageSetup fitToHeight="1" fitToWidth="1" horizontalDpi="600" verticalDpi="600" orientation="portrait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6"/>
  <sheetViews>
    <sheetView zoomScale="75" zoomScaleNormal="75" workbookViewId="0" topLeftCell="A40">
      <selection activeCell="A50" sqref="A50"/>
    </sheetView>
  </sheetViews>
  <sheetFormatPr defaultColWidth="9.00390625" defaultRowHeight="12.75"/>
  <cols>
    <col min="1" max="1" width="43.125" style="25" customWidth="1"/>
    <col min="2" max="2" width="10.875" style="42" customWidth="1"/>
    <col min="3" max="3" width="16.25390625" style="26" bestFit="1" customWidth="1"/>
    <col min="4" max="5" width="16.25390625" style="25" bestFit="1" customWidth="1"/>
    <col min="6" max="7" width="13.125" style="25" customWidth="1"/>
    <col min="8" max="8" width="13.125" style="42" customWidth="1"/>
    <col min="9" max="10" width="13.125" style="25" customWidth="1"/>
    <col min="11" max="16384" width="9.125" style="25" customWidth="1"/>
  </cols>
  <sheetData>
    <row r="1" spans="2:8" ht="15.75">
      <c r="B1" s="25"/>
      <c r="H1" s="25"/>
    </row>
    <row r="2" spans="1:8" ht="15.75">
      <c r="A2" s="27" t="s">
        <v>116</v>
      </c>
      <c r="B2" s="27"/>
      <c r="C2" s="28"/>
      <c r="H2" s="25"/>
    </row>
    <row r="3" spans="1:8" ht="15.75">
      <c r="A3" s="27" t="s">
        <v>13</v>
      </c>
      <c r="B3" s="25"/>
      <c r="C3" s="28"/>
      <c r="H3" s="25"/>
    </row>
    <row r="4" spans="1:10" ht="15.75">
      <c r="A4" s="124" t="s">
        <v>14</v>
      </c>
      <c r="B4" s="123" t="s">
        <v>15</v>
      </c>
      <c r="C4" s="120">
        <f>баланс!C4</f>
        <v>2015</v>
      </c>
      <c r="D4" s="120">
        <f>баланс!D4</f>
        <v>2016</v>
      </c>
      <c r="E4" s="120">
        <f>баланс!E4</f>
        <v>2017</v>
      </c>
      <c r="F4" s="121" t="s">
        <v>120</v>
      </c>
      <c r="G4" s="121"/>
      <c r="H4" s="121"/>
      <c r="I4" s="121" t="s">
        <v>121</v>
      </c>
      <c r="J4" s="121"/>
    </row>
    <row r="5" spans="1:10" ht="15.75">
      <c r="A5" s="124"/>
      <c r="B5" s="123"/>
      <c r="C5" s="120"/>
      <c r="D5" s="120"/>
      <c r="E5" s="120"/>
      <c r="F5" s="76">
        <f>C4</f>
        <v>2015</v>
      </c>
      <c r="G5" s="76">
        <f>D4</f>
        <v>2016</v>
      </c>
      <c r="H5" s="76">
        <f>E4</f>
        <v>2017</v>
      </c>
      <c r="I5" s="29"/>
      <c r="J5" s="29"/>
    </row>
    <row r="6" spans="1:10" s="35" customFormat="1" ht="31.5">
      <c r="A6" s="31">
        <v>1</v>
      </c>
      <c r="B6" s="24">
        <v>2</v>
      </c>
      <c r="C6" s="24">
        <v>3</v>
      </c>
      <c r="D6" s="24">
        <v>4</v>
      </c>
      <c r="E6" s="24">
        <v>5</v>
      </c>
      <c r="F6" s="32" t="s">
        <v>117</v>
      </c>
      <c r="G6" s="32" t="s">
        <v>118</v>
      </c>
      <c r="H6" s="32" t="s">
        <v>122</v>
      </c>
      <c r="I6" s="32" t="s">
        <v>124</v>
      </c>
      <c r="J6" s="32" t="s">
        <v>123</v>
      </c>
    </row>
    <row r="7" spans="1:10" ht="15.75">
      <c r="A7" s="117" t="s">
        <v>16</v>
      </c>
      <c r="B7" s="118"/>
      <c r="C7" s="118"/>
      <c r="D7" s="118"/>
      <c r="E7" s="118"/>
      <c r="F7" s="118"/>
      <c r="G7" s="118"/>
      <c r="H7" s="118"/>
      <c r="I7" s="118"/>
      <c r="J7" s="119"/>
    </row>
    <row r="8" spans="1:10" ht="15.75">
      <c r="A8" s="36" t="s">
        <v>17</v>
      </c>
      <c r="B8" s="23">
        <v>1110</v>
      </c>
      <c r="C8" s="58">
        <f>баланс!C8</f>
        <v>13</v>
      </c>
      <c r="D8" s="58">
        <f>баланс!D8</f>
        <v>12</v>
      </c>
      <c r="E8" s="58">
        <f>баланс!E8</f>
        <v>36</v>
      </c>
      <c r="F8" s="45">
        <f>C8/$C$26*100</f>
        <v>0.02853079570194536</v>
      </c>
      <c r="G8" s="45">
        <f>D8/$D$26*100</f>
        <v>0.01946251033945862</v>
      </c>
      <c r="H8" s="45">
        <f>E8/$E$25*100</f>
        <v>0.054248730429017046</v>
      </c>
      <c r="I8" s="45">
        <f>G8-F8</f>
        <v>-0.00906828536248674</v>
      </c>
      <c r="J8" s="45">
        <f>H8-G8</f>
        <v>0.03478622008955842</v>
      </c>
    </row>
    <row r="9" spans="1:10" ht="31.5">
      <c r="A9" s="36" t="s">
        <v>18</v>
      </c>
      <c r="B9" s="23">
        <v>1120</v>
      </c>
      <c r="C9" s="58">
        <f>баланс!C9</f>
        <v>0</v>
      </c>
      <c r="D9" s="58">
        <f>баланс!D9</f>
        <v>0</v>
      </c>
      <c r="E9" s="58">
        <f>баланс!E9</f>
        <v>0</v>
      </c>
      <c r="F9" s="45">
        <f aca="true" t="shared" si="0" ref="F9:F26">C9/$C$26*100</f>
        <v>0</v>
      </c>
      <c r="G9" s="45">
        <f aca="true" t="shared" si="1" ref="G9:G17">D9/$D$26*100</f>
        <v>0</v>
      </c>
      <c r="H9" s="45">
        <f aca="true" t="shared" si="2" ref="H9:H17">E9/$E$25*100</f>
        <v>0</v>
      </c>
      <c r="I9" s="45">
        <f aca="true" t="shared" si="3" ref="I9:I17">G9-F9</f>
        <v>0</v>
      </c>
      <c r="J9" s="45">
        <f aca="true" t="shared" si="4" ref="J9:J17">H9-G9</f>
        <v>0</v>
      </c>
    </row>
    <row r="10" spans="1:10" ht="15.75">
      <c r="A10" s="36" t="s">
        <v>19</v>
      </c>
      <c r="B10" s="23">
        <v>1130</v>
      </c>
      <c r="C10" s="58">
        <f>баланс!C10</f>
        <v>0</v>
      </c>
      <c r="D10" s="58">
        <f>баланс!D10</f>
        <v>0</v>
      </c>
      <c r="E10" s="58">
        <f>баланс!E10</f>
        <v>0</v>
      </c>
      <c r="F10" s="45">
        <f t="shared" si="0"/>
        <v>0</v>
      </c>
      <c r="G10" s="45">
        <f t="shared" si="1"/>
        <v>0</v>
      </c>
      <c r="H10" s="45">
        <f t="shared" si="2"/>
        <v>0</v>
      </c>
      <c r="I10" s="45">
        <f t="shared" si="3"/>
        <v>0</v>
      </c>
      <c r="J10" s="45">
        <f t="shared" si="4"/>
        <v>0</v>
      </c>
    </row>
    <row r="11" spans="1:10" ht="15.75">
      <c r="A11" s="36" t="s">
        <v>20</v>
      </c>
      <c r="B11" s="23">
        <v>1140</v>
      </c>
      <c r="C11" s="58">
        <f>баланс!C11</f>
        <v>0</v>
      </c>
      <c r="D11" s="58">
        <f>баланс!D11</f>
        <v>0</v>
      </c>
      <c r="E11" s="58">
        <f>баланс!E11</f>
        <v>0</v>
      </c>
      <c r="F11" s="45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</row>
    <row r="12" spans="1:10" ht="47.25">
      <c r="A12" s="36" t="s">
        <v>21</v>
      </c>
      <c r="B12" s="23">
        <v>1150</v>
      </c>
      <c r="C12" s="58">
        <f>баланс!C12</f>
        <v>16681</v>
      </c>
      <c r="D12" s="58">
        <f>баланс!D12</f>
        <v>17568</v>
      </c>
      <c r="E12" s="58">
        <f>баланс!E12</f>
        <v>17987</v>
      </c>
      <c r="F12" s="45">
        <f t="shared" si="0"/>
        <v>36.60940023878081</v>
      </c>
      <c r="G12" s="45">
        <f t="shared" si="1"/>
        <v>28.49311513696742</v>
      </c>
      <c r="H12" s="45">
        <f t="shared" si="2"/>
        <v>27.10477539518693</v>
      </c>
      <c r="I12" s="45">
        <f t="shared" si="3"/>
        <v>-8.11628510181339</v>
      </c>
      <c r="J12" s="45">
        <f t="shared" si="4"/>
        <v>-1.388339741780488</v>
      </c>
    </row>
    <row r="13" spans="1:10" ht="31.5">
      <c r="A13" s="36" t="s">
        <v>22</v>
      </c>
      <c r="B13" s="23">
        <v>1160</v>
      </c>
      <c r="C13" s="58">
        <f>баланс!C13</f>
        <v>0</v>
      </c>
      <c r="D13" s="58">
        <f>баланс!D13</f>
        <v>0</v>
      </c>
      <c r="E13" s="58">
        <f>баланс!E13</f>
        <v>0</v>
      </c>
      <c r="F13" s="45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</row>
    <row r="14" spans="1:10" ht="15.75">
      <c r="A14" s="36" t="s">
        <v>23</v>
      </c>
      <c r="B14" s="23">
        <v>1170</v>
      </c>
      <c r="C14" s="58">
        <f>баланс!C14</f>
        <v>356</v>
      </c>
      <c r="D14" s="58">
        <f>баланс!D14</f>
        <v>340</v>
      </c>
      <c r="E14" s="58">
        <f>баланс!E14</f>
        <v>373</v>
      </c>
      <c r="F14" s="45">
        <f t="shared" si="0"/>
        <v>0.7813048669148113</v>
      </c>
      <c r="G14" s="45">
        <f t="shared" si="1"/>
        <v>0.5514377929513276</v>
      </c>
      <c r="H14" s="45">
        <f t="shared" si="2"/>
        <v>0.56207712361176</v>
      </c>
      <c r="I14" s="45">
        <f t="shared" si="3"/>
        <v>-0.22986707396348371</v>
      </c>
      <c r="J14" s="45">
        <f t="shared" si="4"/>
        <v>0.010639330660432433</v>
      </c>
    </row>
    <row r="15" spans="1:10" ht="15.75">
      <c r="A15" s="36" t="s">
        <v>24</v>
      </c>
      <c r="B15" s="23">
        <v>1180</v>
      </c>
      <c r="C15" s="58">
        <f>баланс!C15</f>
        <v>331</v>
      </c>
      <c r="D15" s="58">
        <f>баланс!D15</f>
        <v>453</v>
      </c>
      <c r="E15" s="58">
        <f>баланс!E15</f>
        <v>554</v>
      </c>
      <c r="F15" s="45">
        <f t="shared" si="0"/>
        <v>0.726437952103378</v>
      </c>
      <c r="G15" s="45">
        <f t="shared" si="1"/>
        <v>0.7347097653145628</v>
      </c>
      <c r="H15" s="45">
        <f t="shared" si="2"/>
        <v>0.834827684935429</v>
      </c>
      <c r="I15" s="45">
        <f t="shared" si="3"/>
        <v>0.008271813211184753</v>
      </c>
      <c r="J15" s="45">
        <f t="shared" si="4"/>
        <v>0.10011791962086625</v>
      </c>
    </row>
    <row r="16" spans="1:10" ht="15.75">
      <c r="A16" s="36" t="s">
        <v>25</v>
      </c>
      <c r="B16" s="23">
        <v>1190</v>
      </c>
      <c r="C16" s="58">
        <f>баланс!C16</f>
        <v>0</v>
      </c>
      <c r="D16" s="58">
        <f>баланс!D16</f>
        <v>0</v>
      </c>
      <c r="E16" s="58">
        <f>баланс!E16</f>
        <v>0</v>
      </c>
      <c r="F16" s="45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</row>
    <row r="17" spans="1:10" s="57" customFormat="1" ht="15.75">
      <c r="A17" s="49" t="s">
        <v>26</v>
      </c>
      <c r="B17" s="50">
        <v>1100</v>
      </c>
      <c r="C17" s="51">
        <f>SUM(C8:C16)</f>
        <v>17381</v>
      </c>
      <c r="D17" s="51">
        <f>SUM(D8:D16)</f>
        <v>18373</v>
      </c>
      <c r="E17" s="51">
        <f>SUM(E8:E16)</f>
        <v>18950</v>
      </c>
      <c r="F17" s="54">
        <f t="shared" si="0"/>
        <v>38.145673853500945</v>
      </c>
      <c r="G17" s="54">
        <f t="shared" si="1"/>
        <v>29.79872520557277</v>
      </c>
      <c r="H17" s="54">
        <f t="shared" si="2"/>
        <v>28.555928934163138</v>
      </c>
      <c r="I17" s="54">
        <f t="shared" si="3"/>
        <v>-8.346948647928176</v>
      </c>
      <c r="J17" s="54">
        <f t="shared" si="4"/>
        <v>-1.242796271409631</v>
      </c>
    </row>
    <row r="18" spans="1:10" ht="15.75">
      <c r="A18" s="117" t="s">
        <v>27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15.75">
      <c r="A19" s="36" t="s">
        <v>28</v>
      </c>
      <c r="B19" s="23">
        <v>1210</v>
      </c>
      <c r="C19" s="58">
        <f>баланс!C19</f>
        <v>16519.4</v>
      </c>
      <c r="D19" s="58">
        <f>баланс!D19</f>
        <v>24231</v>
      </c>
      <c r="E19" s="58">
        <f>баланс!E19</f>
        <v>37448</v>
      </c>
      <c r="F19" s="45">
        <f t="shared" si="0"/>
        <v>36.254740501439706</v>
      </c>
      <c r="G19" s="45">
        <f aca="true" t="shared" si="5" ref="G19:G26">D19/$D$26*100</f>
        <v>39.29967400295181</v>
      </c>
      <c r="H19" s="45">
        <f aca="true" t="shared" si="6" ref="H19:H26">E19/$E$25*100</f>
        <v>56.430734919606394</v>
      </c>
      <c r="I19" s="45">
        <f aca="true" t="shared" si="7" ref="I19:I26">G19-F19</f>
        <v>3.044933501512105</v>
      </c>
      <c r="J19" s="45">
        <f aca="true" t="shared" si="8" ref="J19:J26">H19-G19</f>
        <v>17.131060916654583</v>
      </c>
    </row>
    <row r="20" spans="1:10" ht="31.5">
      <c r="A20" s="36" t="s">
        <v>29</v>
      </c>
      <c r="B20" s="23">
        <v>1220</v>
      </c>
      <c r="C20" s="58">
        <f>баланс!C20</f>
        <v>763.4</v>
      </c>
      <c r="D20" s="58">
        <f>баланс!D20</f>
        <v>94</v>
      </c>
      <c r="E20" s="58">
        <f>баланс!E20</f>
        <v>32</v>
      </c>
      <c r="F20" s="45">
        <f t="shared" si="0"/>
        <v>1.6754161106819296</v>
      </c>
      <c r="G20" s="45">
        <f t="shared" si="5"/>
        <v>0.15245633099242584</v>
      </c>
      <c r="H20" s="45">
        <f t="shared" si="6"/>
        <v>0.04822109371468181</v>
      </c>
      <c r="I20" s="45">
        <f t="shared" si="7"/>
        <v>-1.5229597796895038</v>
      </c>
      <c r="J20" s="45">
        <f t="shared" si="8"/>
        <v>-0.10423523727774403</v>
      </c>
    </row>
    <row r="21" spans="1:10" ht="15.75">
      <c r="A21" s="36" t="s">
        <v>30</v>
      </c>
      <c r="B21" s="23">
        <v>1230</v>
      </c>
      <c r="C21" s="58">
        <f>баланс!C21</f>
        <v>7673</v>
      </c>
      <c r="D21" s="58">
        <f>баланс!D21</f>
        <v>13432</v>
      </c>
      <c r="E21" s="58">
        <f>баланс!E21</f>
        <v>18701</v>
      </c>
      <c r="F21" s="45">
        <f t="shared" si="0"/>
        <v>16.839753493925134</v>
      </c>
      <c r="G21" s="45">
        <f t="shared" si="5"/>
        <v>21.78503657330068</v>
      </c>
      <c r="H21" s="45">
        <f t="shared" si="6"/>
        <v>28.180708548695772</v>
      </c>
      <c r="I21" s="45">
        <f t="shared" si="7"/>
        <v>4.945283079375546</v>
      </c>
      <c r="J21" s="45">
        <f t="shared" si="8"/>
        <v>6.395671975395093</v>
      </c>
    </row>
    <row r="22" spans="1:10" ht="47.25">
      <c r="A22" s="36" t="s">
        <v>31</v>
      </c>
      <c r="B22" s="23">
        <v>1240</v>
      </c>
      <c r="C22" s="58">
        <f>баланс!C22</f>
        <v>2065</v>
      </c>
      <c r="D22" s="58">
        <f>баланс!D22</f>
        <v>300</v>
      </c>
      <c r="E22" s="58">
        <f>баланс!E22</f>
        <v>300</v>
      </c>
      <c r="F22" s="45">
        <f t="shared" si="0"/>
        <v>4.532007163424398</v>
      </c>
      <c r="G22" s="45">
        <f t="shared" si="5"/>
        <v>0.4865627584864654</v>
      </c>
      <c r="H22" s="45">
        <f t="shared" si="6"/>
        <v>0.45207275357514204</v>
      </c>
      <c r="I22" s="45">
        <f t="shared" si="7"/>
        <v>-4.045444404937932</v>
      </c>
      <c r="J22" s="45">
        <f t="shared" si="8"/>
        <v>-0.03449000491132337</v>
      </c>
    </row>
    <row r="23" spans="1:10" ht="31.5">
      <c r="A23" s="36" t="s">
        <v>32</v>
      </c>
      <c r="B23" s="23">
        <v>1250</v>
      </c>
      <c r="C23" s="58">
        <f>баланс!C23</f>
        <v>1156</v>
      </c>
      <c r="D23" s="58">
        <f>баланс!D23</f>
        <v>5183</v>
      </c>
      <c r="E23" s="58">
        <f>баланс!E23</f>
        <v>9851</v>
      </c>
      <c r="F23" s="45">
        <f t="shared" si="0"/>
        <v>2.5370461408806797</v>
      </c>
      <c r="G23" s="45">
        <f t="shared" si="5"/>
        <v>8.406182590784502</v>
      </c>
      <c r="H23" s="45">
        <f t="shared" si="6"/>
        <v>14.844562318229078</v>
      </c>
      <c r="I23" s="45">
        <f t="shared" si="7"/>
        <v>5.869136449903822</v>
      </c>
      <c r="J23" s="45">
        <f t="shared" si="8"/>
        <v>6.438379727444577</v>
      </c>
    </row>
    <row r="24" spans="1:10" ht="15.75">
      <c r="A24" s="36" t="s">
        <v>33</v>
      </c>
      <c r="B24" s="23">
        <v>1260</v>
      </c>
      <c r="C24" s="58">
        <f>баланс!C24</f>
        <v>7</v>
      </c>
      <c r="D24" s="58">
        <f>баланс!D24</f>
        <v>44</v>
      </c>
      <c r="E24" s="58">
        <f>баланс!E24</f>
        <v>29</v>
      </c>
      <c r="F24" s="45">
        <f t="shared" si="0"/>
        <v>0.015362736147201347</v>
      </c>
      <c r="G24" s="45">
        <f t="shared" si="5"/>
        <v>0.07136253791134826</v>
      </c>
      <c r="H24" s="45">
        <f t="shared" si="6"/>
        <v>0.043700366178930396</v>
      </c>
      <c r="I24" s="45">
        <f t="shared" si="7"/>
        <v>0.055999801764146914</v>
      </c>
      <c r="J24" s="45">
        <f t="shared" si="8"/>
        <v>-0.02766217173241787</v>
      </c>
    </row>
    <row r="25" spans="1:10" s="57" customFormat="1" ht="15.75">
      <c r="A25" s="49" t="s">
        <v>34</v>
      </c>
      <c r="B25" s="50">
        <v>1200</v>
      </c>
      <c r="C25" s="51">
        <f>SUM(C19:C24)</f>
        <v>28183.800000000003</v>
      </c>
      <c r="D25" s="52">
        <f>SUM(D19:D24)</f>
        <v>43284</v>
      </c>
      <c r="E25" s="52">
        <f>SUM(E19:E24)</f>
        <v>66361</v>
      </c>
      <c r="F25" s="54">
        <f t="shared" si="0"/>
        <v>61.85432614649905</v>
      </c>
      <c r="G25" s="54">
        <f t="shared" si="5"/>
        <v>70.20127479442723</v>
      </c>
      <c r="H25" s="54">
        <f t="shared" si="6"/>
        <v>100</v>
      </c>
      <c r="I25" s="54">
        <f t="shared" si="7"/>
        <v>8.346948647928187</v>
      </c>
      <c r="J25" s="54">
        <f t="shared" si="8"/>
        <v>29.798725205572765</v>
      </c>
    </row>
    <row r="26" spans="1:10" s="57" customFormat="1" ht="15.75">
      <c r="A26" s="49" t="s">
        <v>35</v>
      </c>
      <c r="B26" s="50">
        <v>1600</v>
      </c>
      <c r="C26" s="52">
        <f>C17+C25</f>
        <v>45564.8</v>
      </c>
      <c r="D26" s="52">
        <f>D17+D25</f>
        <v>61657</v>
      </c>
      <c r="E26" s="52">
        <f>E17+E25</f>
        <v>85311</v>
      </c>
      <c r="F26" s="54">
        <f t="shared" si="0"/>
        <v>100</v>
      </c>
      <c r="G26" s="54">
        <f t="shared" si="5"/>
        <v>100</v>
      </c>
      <c r="H26" s="54">
        <f t="shared" si="6"/>
        <v>128.55592893416315</v>
      </c>
      <c r="I26" s="54">
        <f t="shared" si="7"/>
        <v>0</v>
      </c>
      <c r="J26" s="54">
        <f t="shared" si="8"/>
        <v>28.55592893416315</v>
      </c>
    </row>
    <row r="27" spans="1:10" ht="15.75">
      <c r="A27" s="123" t="s">
        <v>36</v>
      </c>
      <c r="B27" s="123" t="s">
        <v>15</v>
      </c>
      <c r="C27" s="120">
        <f>C4</f>
        <v>2015</v>
      </c>
      <c r="D27" s="120">
        <f>D4</f>
        <v>2016</v>
      </c>
      <c r="E27" s="120">
        <f>E4</f>
        <v>2017</v>
      </c>
      <c r="F27" s="121" t="s">
        <v>120</v>
      </c>
      <c r="G27" s="121"/>
      <c r="H27" s="121"/>
      <c r="I27" s="121" t="s">
        <v>9</v>
      </c>
      <c r="J27" s="121"/>
    </row>
    <row r="28" spans="1:10" ht="15.75">
      <c r="A28" s="123"/>
      <c r="B28" s="123"/>
      <c r="C28" s="120"/>
      <c r="D28" s="120"/>
      <c r="E28" s="120"/>
      <c r="F28" s="76">
        <f>F5</f>
        <v>2015</v>
      </c>
      <c r="G28" s="76">
        <f>G5</f>
        <v>2016</v>
      </c>
      <c r="H28" s="76">
        <f>H5</f>
        <v>2017</v>
      </c>
      <c r="I28" s="29"/>
      <c r="J28" s="29"/>
    </row>
    <row r="29" spans="1:10" s="35" customFormat="1" ht="31.5">
      <c r="A29" s="31">
        <v>1</v>
      </c>
      <c r="B29" s="24">
        <v>2</v>
      </c>
      <c r="C29" s="24">
        <v>3</v>
      </c>
      <c r="D29" s="24">
        <v>4</v>
      </c>
      <c r="E29" s="24">
        <v>5</v>
      </c>
      <c r="F29" s="32" t="s">
        <v>117</v>
      </c>
      <c r="G29" s="32" t="s">
        <v>118</v>
      </c>
      <c r="H29" s="32" t="s">
        <v>119</v>
      </c>
      <c r="I29" s="32" t="s">
        <v>4</v>
      </c>
      <c r="J29" s="32" t="s">
        <v>5</v>
      </c>
    </row>
    <row r="30" spans="1:10" ht="15.75">
      <c r="A30" s="117" t="s">
        <v>37</v>
      </c>
      <c r="B30" s="118"/>
      <c r="C30" s="118"/>
      <c r="D30" s="118"/>
      <c r="E30" s="118"/>
      <c r="F30" s="118"/>
      <c r="G30" s="118"/>
      <c r="H30" s="118"/>
      <c r="I30" s="118"/>
      <c r="J30" s="119"/>
    </row>
    <row r="31" spans="1:10" ht="47.25">
      <c r="A31" s="36" t="s">
        <v>38</v>
      </c>
      <c r="B31" s="23">
        <v>1310</v>
      </c>
      <c r="C31" s="58">
        <f>баланс!C31</f>
        <v>1759</v>
      </c>
      <c r="D31" s="58">
        <f>баланс!D31</f>
        <v>1759</v>
      </c>
      <c r="E31" s="58">
        <f>баланс!E31</f>
        <v>1759</v>
      </c>
      <c r="F31" s="45">
        <f>C31/$C$26*100</f>
        <v>3.860436126132453</v>
      </c>
      <c r="G31" s="45">
        <f>D31/$D$26*100</f>
        <v>2.852879640592309</v>
      </c>
      <c r="H31" s="45">
        <f>E31/$E$25*100</f>
        <v>2.650653245128916</v>
      </c>
      <c r="I31" s="45">
        <f aca="true" t="shared" si="9" ref="I31:I38">G31-F31</f>
        <v>-1.0075564855401438</v>
      </c>
      <c r="J31" s="45">
        <f aca="true" t="shared" si="10" ref="J31:J38">H31-G31</f>
        <v>-0.20222639546339316</v>
      </c>
    </row>
    <row r="32" spans="1:10" ht="31.5">
      <c r="A32" s="36" t="s">
        <v>39</v>
      </c>
      <c r="B32" s="23">
        <v>1320</v>
      </c>
      <c r="C32" s="58">
        <f>баланс!C32</f>
        <v>0</v>
      </c>
      <c r="D32" s="58">
        <f>баланс!D32</f>
        <v>0</v>
      </c>
      <c r="E32" s="58">
        <f>баланс!E32</f>
        <v>0</v>
      </c>
      <c r="F32" s="45">
        <f aca="true" t="shared" si="11" ref="F32:F38">C32/$C$26*100</f>
        <v>0</v>
      </c>
      <c r="G32" s="45">
        <f aca="true" t="shared" si="12" ref="G32:G38">D32/$D$26*100</f>
        <v>0</v>
      </c>
      <c r="H32" s="45">
        <f aca="true" t="shared" si="13" ref="H32:H38">E32/$E$25*100</f>
        <v>0</v>
      </c>
      <c r="I32" s="45">
        <f t="shared" si="9"/>
        <v>0</v>
      </c>
      <c r="J32" s="45">
        <f t="shared" si="10"/>
        <v>0</v>
      </c>
    </row>
    <row r="33" spans="1:10" ht="15.75">
      <c r="A33" s="36" t="s">
        <v>40</v>
      </c>
      <c r="B33" s="23">
        <v>1340</v>
      </c>
      <c r="C33" s="58">
        <f>баланс!C33</f>
        <v>0</v>
      </c>
      <c r="D33" s="58">
        <f>баланс!D33</f>
        <v>0</v>
      </c>
      <c r="E33" s="58">
        <f>баланс!E33</f>
        <v>0</v>
      </c>
      <c r="F33" s="45">
        <f t="shared" si="11"/>
        <v>0</v>
      </c>
      <c r="G33" s="45">
        <f t="shared" si="12"/>
        <v>0</v>
      </c>
      <c r="H33" s="45">
        <f t="shared" si="13"/>
        <v>0</v>
      </c>
      <c r="I33" s="45">
        <f t="shared" si="9"/>
        <v>0</v>
      </c>
      <c r="J33" s="45">
        <f t="shared" si="10"/>
        <v>0</v>
      </c>
    </row>
    <row r="34" spans="1:10" ht="31.5">
      <c r="A34" s="36" t="s">
        <v>41</v>
      </c>
      <c r="B34" s="23">
        <v>1350</v>
      </c>
      <c r="C34" s="58">
        <f>баланс!C34</f>
        <v>24616</v>
      </c>
      <c r="D34" s="58">
        <f>баланс!D34</f>
        <v>21392</v>
      </c>
      <c r="E34" s="58">
        <f>баланс!E34</f>
        <v>23195</v>
      </c>
      <c r="F34" s="45">
        <f t="shared" si="11"/>
        <v>54.024158999929774</v>
      </c>
      <c r="G34" s="45">
        <f t="shared" si="12"/>
        <v>34.695168431808234</v>
      </c>
      <c r="H34" s="45">
        <f t="shared" si="13"/>
        <v>34.9527583972514</v>
      </c>
      <c r="I34" s="45">
        <f t="shared" si="9"/>
        <v>-19.32899056812154</v>
      </c>
      <c r="J34" s="45">
        <f t="shared" si="10"/>
        <v>0.2575899654431666</v>
      </c>
    </row>
    <row r="35" spans="1:10" ht="15.75">
      <c r="A35" s="36" t="s">
        <v>42</v>
      </c>
      <c r="B35" s="23">
        <v>1360</v>
      </c>
      <c r="C35" s="58">
        <f>баланс!C35</f>
        <v>0</v>
      </c>
      <c r="D35" s="58">
        <f>баланс!D35</f>
        <v>88</v>
      </c>
      <c r="E35" s="58">
        <f>баланс!E35</f>
        <v>88</v>
      </c>
      <c r="F35" s="45">
        <f t="shared" si="11"/>
        <v>0</v>
      </c>
      <c r="G35" s="45">
        <f t="shared" si="12"/>
        <v>0.14272507582269653</v>
      </c>
      <c r="H35" s="45">
        <f t="shared" si="13"/>
        <v>0.13260800771537498</v>
      </c>
      <c r="I35" s="45">
        <f t="shared" si="9"/>
        <v>0.14272507582269653</v>
      </c>
      <c r="J35" s="45">
        <f t="shared" si="10"/>
        <v>-0.010117068107321547</v>
      </c>
    </row>
    <row r="36" spans="1:10" ht="31.5">
      <c r="A36" s="36" t="s">
        <v>43</v>
      </c>
      <c r="B36" s="23">
        <v>1370</v>
      </c>
      <c r="C36" s="58">
        <f>баланс!C36</f>
        <v>14073</v>
      </c>
      <c r="D36" s="58">
        <f>баланс!D36</f>
        <v>19784</v>
      </c>
      <c r="E36" s="58">
        <f>баланс!E36</f>
        <v>28508</v>
      </c>
      <c r="F36" s="45">
        <f t="shared" si="11"/>
        <v>30.885683685652083</v>
      </c>
      <c r="G36" s="45">
        <f t="shared" si="12"/>
        <v>32.08719204632077</v>
      </c>
      <c r="H36" s="45">
        <f t="shared" si="13"/>
        <v>42.95896686306716</v>
      </c>
      <c r="I36" s="45">
        <f t="shared" si="9"/>
        <v>1.20150836066869</v>
      </c>
      <c r="J36" s="45">
        <f t="shared" si="10"/>
        <v>10.871774816746388</v>
      </c>
    </row>
    <row r="37" spans="1:10" ht="31.5">
      <c r="A37" s="36" t="s">
        <v>44</v>
      </c>
      <c r="B37" s="23">
        <v>1371</v>
      </c>
      <c r="C37" s="58">
        <f>баланс!C37</f>
        <v>0</v>
      </c>
      <c r="D37" s="58">
        <f>баланс!D37</f>
        <v>0</v>
      </c>
      <c r="E37" s="58">
        <f>баланс!E37</f>
        <v>0</v>
      </c>
      <c r="F37" s="45">
        <f t="shared" si="11"/>
        <v>0</v>
      </c>
      <c r="G37" s="45">
        <f t="shared" si="12"/>
        <v>0</v>
      </c>
      <c r="H37" s="45">
        <f t="shared" si="13"/>
        <v>0</v>
      </c>
      <c r="I37" s="45">
        <f t="shared" si="9"/>
        <v>0</v>
      </c>
      <c r="J37" s="45">
        <f t="shared" si="10"/>
        <v>0</v>
      </c>
    </row>
    <row r="38" spans="1:10" s="57" customFormat="1" ht="15.75">
      <c r="A38" s="49" t="s">
        <v>45</v>
      </c>
      <c r="B38" s="50">
        <v>1300</v>
      </c>
      <c r="C38" s="52">
        <f>SUM(C31:C36)</f>
        <v>40448</v>
      </c>
      <c r="D38" s="52">
        <f>SUM(D31:D36)</f>
        <v>43023</v>
      </c>
      <c r="E38" s="52">
        <f>SUM(E31:E36)</f>
        <v>53550</v>
      </c>
      <c r="F38" s="54">
        <f t="shared" si="11"/>
        <v>88.77027881171429</v>
      </c>
      <c r="G38" s="54">
        <f t="shared" si="12"/>
        <v>69.77796519454401</v>
      </c>
      <c r="H38" s="54">
        <f t="shared" si="13"/>
        <v>80.69498651316285</v>
      </c>
      <c r="I38" s="54">
        <f t="shared" si="9"/>
        <v>-18.992313617170282</v>
      </c>
      <c r="J38" s="54">
        <f t="shared" si="10"/>
        <v>10.917021318618836</v>
      </c>
    </row>
    <row r="39" spans="1:10" ht="15.75">
      <c r="A39" s="117" t="s">
        <v>46</v>
      </c>
      <c r="B39" s="118"/>
      <c r="C39" s="118"/>
      <c r="D39" s="118"/>
      <c r="E39" s="118"/>
      <c r="F39" s="118"/>
      <c r="G39" s="118"/>
      <c r="H39" s="118"/>
      <c r="I39" s="118"/>
      <c r="J39" s="119"/>
    </row>
    <row r="40" spans="1:10" ht="24" customHeight="1">
      <c r="A40" s="36" t="s">
        <v>47</v>
      </c>
      <c r="B40" s="23">
        <v>1410</v>
      </c>
      <c r="C40" s="58">
        <f>баланс!C40</f>
        <v>0</v>
      </c>
      <c r="D40" s="58">
        <f>баланс!D40</f>
        <v>0</v>
      </c>
      <c r="E40" s="58">
        <f>баланс!E40</f>
        <v>0</v>
      </c>
      <c r="F40" s="45">
        <f>C40/$C$26*100</f>
        <v>0</v>
      </c>
      <c r="G40" s="45">
        <f>D40/$D$26*100</f>
        <v>0</v>
      </c>
      <c r="H40" s="45">
        <f>E40/$E$25*100</f>
        <v>0</v>
      </c>
      <c r="I40" s="45">
        <f aca="true" t="shared" si="14" ref="I40:J44">G40-F40</f>
        <v>0</v>
      </c>
      <c r="J40" s="45">
        <f t="shared" si="14"/>
        <v>0</v>
      </c>
    </row>
    <row r="41" spans="1:10" ht="31.5">
      <c r="A41" s="36" t="s">
        <v>48</v>
      </c>
      <c r="B41" s="23">
        <v>1420</v>
      </c>
      <c r="C41" s="58">
        <f>баланс!C41</f>
        <v>392</v>
      </c>
      <c r="D41" s="58">
        <f>баланс!D41</f>
        <v>1104</v>
      </c>
      <c r="E41" s="58">
        <f>баланс!E41</f>
        <v>1332</v>
      </c>
      <c r="F41" s="45">
        <f>C41/$C$26*100</f>
        <v>0.8603132242432754</v>
      </c>
      <c r="G41" s="45">
        <f>D41/$D$26*100</f>
        <v>1.790550951230193</v>
      </c>
      <c r="H41" s="45">
        <f>E41/$E$25*100</f>
        <v>2.0072030258736304</v>
      </c>
      <c r="I41" s="45">
        <f t="shared" si="14"/>
        <v>0.9302377269869175</v>
      </c>
      <c r="J41" s="45">
        <f t="shared" si="14"/>
        <v>0.2166520746434375</v>
      </c>
    </row>
    <row r="42" spans="1:10" ht="15.75">
      <c r="A42" s="36" t="s">
        <v>49</v>
      </c>
      <c r="B42" s="23">
        <v>1430</v>
      </c>
      <c r="C42" s="58">
        <f>баланс!C42</f>
        <v>0</v>
      </c>
      <c r="D42" s="58">
        <f>баланс!D42</f>
        <v>0</v>
      </c>
      <c r="E42" s="58">
        <f>баланс!E42</f>
        <v>0</v>
      </c>
      <c r="F42" s="45">
        <f>C42/$C$26*100</f>
        <v>0</v>
      </c>
      <c r="G42" s="45">
        <f>D42/$D$26*100</f>
        <v>0</v>
      </c>
      <c r="H42" s="45">
        <f>E42/$E$25*100</f>
        <v>0</v>
      </c>
      <c r="I42" s="45">
        <f t="shared" si="14"/>
        <v>0</v>
      </c>
      <c r="J42" s="45">
        <f t="shared" si="14"/>
        <v>0</v>
      </c>
    </row>
    <row r="43" spans="1:10" ht="15.75">
      <c r="A43" s="36" t="s">
        <v>50</v>
      </c>
      <c r="B43" s="23">
        <v>1450</v>
      </c>
      <c r="C43" s="58">
        <f>баланс!C43</f>
        <v>0</v>
      </c>
      <c r="D43" s="58">
        <f>баланс!D43</f>
        <v>0</v>
      </c>
      <c r="E43" s="58">
        <f>баланс!E43</f>
        <v>0</v>
      </c>
      <c r="F43" s="45">
        <f>C43/$C$26*100</f>
        <v>0</v>
      </c>
      <c r="G43" s="45">
        <f>D43/$D$26*100</f>
        <v>0</v>
      </c>
      <c r="H43" s="45">
        <f>E43/$E$25*100</f>
        <v>0</v>
      </c>
      <c r="I43" s="45">
        <f t="shared" si="14"/>
        <v>0</v>
      </c>
      <c r="J43" s="45">
        <f t="shared" si="14"/>
        <v>0</v>
      </c>
    </row>
    <row r="44" spans="1:10" s="57" customFormat="1" ht="15.75">
      <c r="A44" s="49" t="s">
        <v>51</v>
      </c>
      <c r="B44" s="50">
        <v>1400</v>
      </c>
      <c r="C44" s="52">
        <f>SUM(C40:C43)</f>
        <v>392</v>
      </c>
      <c r="D44" s="52">
        <f>SUM(D40:D43)</f>
        <v>1104</v>
      </c>
      <c r="E44" s="52">
        <f>SUM(E40:E43)</f>
        <v>1332</v>
      </c>
      <c r="F44" s="54">
        <f>C44/$C$26*100</f>
        <v>0.8603132242432754</v>
      </c>
      <c r="G44" s="54">
        <f>D44/$D$26*100</f>
        <v>1.790550951230193</v>
      </c>
      <c r="H44" s="54">
        <f>E44/$E$25*100</f>
        <v>2.0072030258736304</v>
      </c>
      <c r="I44" s="54">
        <f t="shared" si="14"/>
        <v>0.9302377269869175</v>
      </c>
      <c r="J44" s="54">
        <f t="shared" si="14"/>
        <v>0.2166520746434375</v>
      </c>
    </row>
    <row r="45" spans="1:10" ht="15.75">
      <c r="A45" s="117" t="s">
        <v>52</v>
      </c>
      <c r="B45" s="118"/>
      <c r="C45" s="118"/>
      <c r="D45" s="118"/>
      <c r="E45" s="118"/>
      <c r="F45" s="118"/>
      <c r="G45" s="118"/>
      <c r="H45" s="118"/>
      <c r="I45" s="118"/>
      <c r="J45" s="119"/>
    </row>
    <row r="46" spans="1:10" ht="15.75">
      <c r="A46" s="36" t="s">
        <v>47</v>
      </c>
      <c r="B46" s="23">
        <v>1510</v>
      </c>
      <c r="C46" s="58">
        <f>баланс!C46</f>
        <v>0</v>
      </c>
      <c r="D46" s="58">
        <f>баланс!D46</f>
        <v>0</v>
      </c>
      <c r="E46" s="58">
        <f>баланс!E46</f>
        <v>0</v>
      </c>
      <c r="F46" s="45">
        <f aca="true" t="shared" si="15" ref="F46:F52">C46/$C$26*100</f>
        <v>0</v>
      </c>
      <c r="G46" s="45">
        <f aca="true" t="shared" si="16" ref="G46:G52">D46/$D$26*100</f>
        <v>0</v>
      </c>
      <c r="H46" s="45">
        <f aca="true" t="shared" si="17" ref="H46:H52">E46/$E$25*100</f>
        <v>0</v>
      </c>
      <c r="I46" s="45">
        <f aca="true" t="shared" si="18" ref="I46:I52">G46-F46</f>
        <v>0</v>
      </c>
      <c r="J46" s="45">
        <f aca="true" t="shared" si="19" ref="J46:J52">H46-G46</f>
        <v>0</v>
      </c>
    </row>
    <row r="47" spans="1:10" ht="15.75">
      <c r="A47" s="36" t="s">
        <v>53</v>
      </c>
      <c r="B47" s="23">
        <v>1520</v>
      </c>
      <c r="C47" s="58">
        <f>баланс!C47</f>
        <v>4694</v>
      </c>
      <c r="D47" s="58">
        <f>баланс!D47</f>
        <v>17485</v>
      </c>
      <c r="E47" s="58">
        <f>баланс!E47</f>
        <v>30385</v>
      </c>
      <c r="F47" s="45">
        <f t="shared" si="15"/>
        <v>10.301811924994732</v>
      </c>
      <c r="G47" s="45">
        <f t="shared" si="16"/>
        <v>28.358499440452828</v>
      </c>
      <c r="H47" s="45">
        <f t="shared" si="17"/>
        <v>45.787435391268964</v>
      </c>
      <c r="I47" s="45">
        <f t="shared" si="18"/>
        <v>18.056687515458094</v>
      </c>
      <c r="J47" s="45">
        <f t="shared" si="19"/>
        <v>17.428935950816136</v>
      </c>
    </row>
    <row r="48" spans="1:10" ht="15.75">
      <c r="A48" s="36" t="s">
        <v>54</v>
      </c>
      <c r="B48" s="23">
        <v>1530</v>
      </c>
      <c r="C48" s="58">
        <f>баланс!C48</f>
        <v>0</v>
      </c>
      <c r="D48" s="58">
        <f>баланс!D48</f>
        <v>0</v>
      </c>
      <c r="E48" s="58">
        <f>баланс!E48</f>
        <v>0</v>
      </c>
      <c r="F48" s="45">
        <f t="shared" si="15"/>
        <v>0</v>
      </c>
      <c r="G48" s="45">
        <f t="shared" si="16"/>
        <v>0</v>
      </c>
      <c r="H48" s="45">
        <f t="shared" si="17"/>
        <v>0</v>
      </c>
      <c r="I48" s="45">
        <f t="shared" si="18"/>
        <v>0</v>
      </c>
      <c r="J48" s="45">
        <f t="shared" si="19"/>
        <v>0</v>
      </c>
    </row>
    <row r="49" spans="1:10" ht="15.75">
      <c r="A49" s="36" t="s">
        <v>49</v>
      </c>
      <c r="B49" s="23">
        <v>1540</v>
      </c>
      <c r="C49" s="58">
        <f>баланс!C49</f>
        <v>0</v>
      </c>
      <c r="D49" s="58">
        <f>баланс!D49</f>
        <v>0</v>
      </c>
      <c r="E49" s="58">
        <f>баланс!E49</f>
        <v>0</v>
      </c>
      <c r="F49" s="45">
        <f t="shared" si="15"/>
        <v>0</v>
      </c>
      <c r="G49" s="45">
        <f t="shared" si="16"/>
        <v>0</v>
      </c>
      <c r="H49" s="45">
        <f t="shared" si="17"/>
        <v>0</v>
      </c>
      <c r="I49" s="45">
        <f t="shared" si="18"/>
        <v>0</v>
      </c>
      <c r="J49" s="45">
        <f t="shared" si="19"/>
        <v>0</v>
      </c>
    </row>
    <row r="50" spans="1:10" ht="47.25">
      <c r="A50" s="36" t="s">
        <v>185</v>
      </c>
      <c r="B50" s="23">
        <v>1550</v>
      </c>
      <c r="C50" s="58">
        <f>баланс!C50</f>
        <v>31</v>
      </c>
      <c r="D50" s="58">
        <f>баланс!D50</f>
        <v>45</v>
      </c>
      <c r="E50" s="58">
        <f>баланс!E50</f>
        <v>44</v>
      </c>
      <c r="F50" s="45">
        <f t="shared" si="15"/>
        <v>0.0680349743661774</v>
      </c>
      <c r="G50" s="45">
        <f t="shared" si="16"/>
        <v>0.07298441377296983</v>
      </c>
      <c r="H50" s="45">
        <f t="shared" si="17"/>
        <v>0.06630400385768749</v>
      </c>
      <c r="I50" s="45">
        <f t="shared" si="18"/>
        <v>0.004949439406792419</v>
      </c>
      <c r="J50" s="45">
        <f t="shared" si="19"/>
        <v>-0.006680409915282334</v>
      </c>
    </row>
    <row r="51" spans="1:10" s="57" customFormat="1" ht="15.75">
      <c r="A51" s="49" t="s">
        <v>55</v>
      </c>
      <c r="B51" s="50">
        <v>1500</v>
      </c>
      <c r="C51" s="52">
        <f>SUM(C46:C50)</f>
        <v>4725</v>
      </c>
      <c r="D51" s="52">
        <f>SUM(D46:D50)</f>
        <v>17530</v>
      </c>
      <c r="E51" s="52">
        <f>SUM(E46:E50)</f>
        <v>30429</v>
      </c>
      <c r="F51" s="54">
        <f t="shared" si="15"/>
        <v>10.36984689936091</v>
      </c>
      <c r="G51" s="54">
        <f t="shared" si="16"/>
        <v>28.431483854225796</v>
      </c>
      <c r="H51" s="54">
        <f t="shared" si="17"/>
        <v>45.85373939512666</v>
      </c>
      <c r="I51" s="54">
        <f t="shared" si="18"/>
        <v>18.061636954864888</v>
      </c>
      <c r="J51" s="54">
        <f t="shared" si="19"/>
        <v>17.422255540900863</v>
      </c>
    </row>
    <row r="52" spans="1:10" s="57" customFormat="1" ht="15.75">
      <c r="A52" s="49" t="s">
        <v>56</v>
      </c>
      <c r="B52" s="50">
        <v>1700</v>
      </c>
      <c r="C52" s="52">
        <f>C38+C44+C51</f>
        <v>45565</v>
      </c>
      <c r="D52" s="52">
        <f>D38+D44+D51</f>
        <v>61657</v>
      </c>
      <c r="E52" s="52">
        <f>E38+E44+E51</f>
        <v>85311</v>
      </c>
      <c r="F52" s="54">
        <f t="shared" si="15"/>
        <v>100.0004389353185</v>
      </c>
      <c r="G52" s="54">
        <f t="shared" si="16"/>
        <v>100</v>
      </c>
      <c r="H52" s="54">
        <f t="shared" si="17"/>
        <v>128.55592893416315</v>
      </c>
      <c r="I52" s="54">
        <f t="shared" si="18"/>
        <v>-0.0004389353184990341</v>
      </c>
      <c r="J52" s="54">
        <f t="shared" si="19"/>
        <v>28.55592893416315</v>
      </c>
    </row>
    <row r="53" spans="3:5" ht="15.75">
      <c r="C53" s="43">
        <f>C26-C52</f>
        <v>-0.19999999999708962</v>
      </c>
      <c r="D53" s="43">
        <f>D26-D52</f>
        <v>0</v>
      </c>
      <c r="E53" s="43">
        <f>E26-E52</f>
        <v>0</v>
      </c>
    </row>
    <row r="54" spans="3:8" ht="15.75">
      <c r="C54" s="25"/>
      <c r="D54" s="26"/>
      <c r="H54" s="43"/>
    </row>
    <row r="55" spans="1:9" ht="15.75">
      <c r="A55" s="25" t="s">
        <v>57</v>
      </c>
      <c r="C55" s="44">
        <f>C44+C51</f>
        <v>5117</v>
      </c>
      <c r="D55" s="44">
        <f>D44+D51</f>
        <v>18634</v>
      </c>
      <c r="E55" s="44">
        <f>E44+E51</f>
        <v>31761</v>
      </c>
      <c r="H55" s="43"/>
      <c r="I55" s="44">
        <f>E38-C38</f>
        <v>13102</v>
      </c>
    </row>
    <row r="56" spans="3:8" ht="15.75">
      <c r="C56" s="25"/>
      <c r="H56" s="43"/>
    </row>
    <row r="57" ht="15.75">
      <c r="H57" s="43"/>
    </row>
    <row r="58" ht="15.75">
      <c r="H58" s="43"/>
    </row>
    <row r="59" ht="15.75">
      <c r="H59" s="43"/>
    </row>
    <row r="60" ht="15.75">
      <c r="H60" s="43"/>
    </row>
    <row r="61" ht="15.75">
      <c r="H61" s="43"/>
    </row>
    <row r="62" ht="15.75">
      <c r="H62" s="43"/>
    </row>
    <row r="63" ht="15.75">
      <c r="H63" s="43"/>
    </row>
    <row r="64" ht="15.75">
      <c r="H64" s="43"/>
    </row>
    <row r="65" ht="15.75">
      <c r="H65" s="43"/>
    </row>
    <row r="66" ht="15.75">
      <c r="H66" s="43"/>
    </row>
  </sheetData>
  <sheetProtection/>
  <mergeCells count="19">
    <mergeCell ref="A45:J45"/>
    <mergeCell ref="A7:J7"/>
    <mergeCell ref="A18:J18"/>
    <mergeCell ref="A30:J30"/>
    <mergeCell ref="A39:J39"/>
    <mergeCell ref="E27:E28"/>
    <mergeCell ref="F27:H27"/>
    <mergeCell ref="I27:J27"/>
    <mergeCell ref="A27:A28"/>
    <mergeCell ref="B27:B28"/>
    <mergeCell ref="C27:C28"/>
    <mergeCell ref="D27:D28"/>
    <mergeCell ref="E4:E5"/>
    <mergeCell ref="F4:H4"/>
    <mergeCell ref="I4:J4"/>
    <mergeCell ref="A4:A5"/>
    <mergeCell ref="B4:B5"/>
    <mergeCell ref="C4:C5"/>
    <mergeCell ref="D4:D5"/>
  </mergeCells>
  <printOptions/>
  <pageMargins left="0.75" right="0.75" top="0.51" bottom="0.52" header="0.5" footer="0.5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53"/>
  <sheetViews>
    <sheetView zoomScaleSheetLayoutView="100" workbookViewId="0" topLeftCell="A28">
      <selection activeCell="C18" sqref="C18"/>
    </sheetView>
  </sheetViews>
  <sheetFormatPr defaultColWidth="9.00390625" defaultRowHeight="12.75"/>
  <cols>
    <col min="1" max="1" width="41.375" style="3" customWidth="1"/>
    <col min="2" max="2" width="6.625" style="13" customWidth="1"/>
    <col min="3" max="3" width="14.00390625" style="13" customWidth="1"/>
    <col min="4" max="4" width="14.125" style="4" customWidth="1"/>
    <col min="5" max="5" width="20.25390625" style="5" customWidth="1"/>
    <col min="6" max="6" width="20.25390625" style="6" customWidth="1"/>
    <col min="7" max="7" width="13.75390625" style="13" customWidth="1"/>
    <col min="8" max="8" width="9.375" style="3" bestFit="1" customWidth="1"/>
    <col min="9" max="9" width="9.25390625" style="3" bestFit="1" customWidth="1"/>
    <col min="10" max="10" width="3.00390625" style="3" customWidth="1"/>
    <col min="11" max="11" width="31.75390625" style="3" customWidth="1"/>
    <col min="12" max="12" width="6.625" style="7" customWidth="1"/>
    <col min="13" max="13" width="10.25390625" style="3" bestFit="1" customWidth="1"/>
    <col min="14" max="14" width="11.375" style="3" bestFit="1" customWidth="1"/>
    <col min="15" max="16384" width="9.125" style="3" customWidth="1"/>
  </cols>
  <sheetData>
    <row r="1" spans="1:7" ht="12.75">
      <c r="A1" s="2" t="s">
        <v>0</v>
      </c>
      <c r="B1" s="3"/>
      <c r="C1" s="3"/>
      <c r="G1" s="3"/>
    </row>
    <row r="2" spans="1:4" s="2" customFormat="1" ht="25.5">
      <c r="A2" s="133" t="s">
        <v>14</v>
      </c>
      <c r="B2" s="135" t="s">
        <v>15</v>
      </c>
      <c r="C2" s="77" t="s">
        <v>11</v>
      </c>
      <c r="D2" s="77" t="s">
        <v>11</v>
      </c>
    </row>
    <row r="3" spans="1:4" s="2" customFormat="1" ht="12.75">
      <c r="A3" s="134"/>
      <c r="B3" s="136"/>
      <c r="C3" s="78">
        <f>баланс!D4</f>
        <v>2016</v>
      </c>
      <c r="D3" s="78">
        <f>баланс!E4</f>
        <v>2017</v>
      </c>
    </row>
    <row r="4" spans="1:12" ht="12.75">
      <c r="A4" s="8">
        <v>1</v>
      </c>
      <c r="B4" s="8">
        <v>2</v>
      </c>
      <c r="C4" s="8">
        <v>3</v>
      </c>
      <c r="D4" s="8">
        <v>4</v>
      </c>
      <c r="E4" s="3"/>
      <c r="F4" s="3"/>
      <c r="G4" s="7"/>
      <c r="L4" s="3"/>
    </row>
    <row r="5" spans="1:12" ht="12.75">
      <c r="A5" s="9" t="s">
        <v>16</v>
      </c>
      <c r="B5" s="10"/>
      <c r="C5" s="10"/>
      <c r="D5" s="10"/>
      <c r="E5" s="3"/>
      <c r="F5" s="3"/>
      <c r="G5" s="7"/>
      <c r="L5" s="3"/>
    </row>
    <row r="6" spans="1:12" ht="12.75">
      <c r="A6" s="9" t="s">
        <v>17</v>
      </c>
      <c r="B6" s="8">
        <v>1110</v>
      </c>
      <c r="C6" s="11">
        <f>(баланс!C8+баланс!D8)/2</f>
        <v>12.5</v>
      </c>
      <c r="D6" s="11">
        <f>(баланс!D8+баланс!E8)/2</f>
        <v>24</v>
      </c>
      <c r="E6" s="3"/>
      <c r="F6" s="3"/>
      <c r="G6" s="7"/>
      <c r="L6" s="3"/>
    </row>
    <row r="7" spans="1:12" ht="12.75">
      <c r="A7" s="9" t="s">
        <v>18</v>
      </c>
      <c r="B7" s="8">
        <v>1120</v>
      </c>
      <c r="C7" s="11">
        <f>(баланс!C9+баланс!D9)/2</f>
        <v>0</v>
      </c>
      <c r="D7" s="11">
        <f>(баланс!D9+баланс!E9)/2</f>
        <v>0</v>
      </c>
      <c r="E7" s="3"/>
      <c r="F7" s="3"/>
      <c r="G7" s="7"/>
      <c r="L7" s="3"/>
    </row>
    <row r="8" spans="1:12" ht="12.75">
      <c r="A8" s="9" t="s">
        <v>19</v>
      </c>
      <c r="B8" s="8"/>
      <c r="C8" s="11">
        <f>(баланс!C10+баланс!D10)/2</f>
        <v>0</v>
      </c>
      <c r="D8" s="11">
        <f>(баланс!D10+баланс!E10)/2</f>
        <v>0</v>
      </c>
      <c r="E8" s="3"/>
      <c r="F8" s="3"/>
      <c r="G8" s="7"/>
      <c r="L8" s="3"/>
    </row>
    <row r="9" spans="1:12" ht="12.75">
      <c r="A9" s="9" t="s">
        <v>20</v>
      </c>
      <c r="B9" s="8"/>
      <c r="C9" s="11">
        <f>(баланс!C11+баланс!D11)/2</f>
        <v>0</v>
      </c>
      <c r="D9" s="11">
        <f>(баланс!D11+баланс!E11)/2</f>
        <v>0</v>
      </c>
      <c r="E9" s="3"/>
      <c r="F9" s="3"/>
      <c r="G9" s="7"/>
      <c r="L9" s="3"/>
    </row>
    <row r="10" spans="1:12" ht="12.75">
      <c r="A10" s="9" t="s">
        <v>1</v>
      </c>
      <c r="B10" s="8">
        <v>1130</v>
      </c>
      <c r="C10" s="11">
        <f>(баланс!C12+баланс!D12)/2</f>
        <v>17124.5</v>
      </c>
      <c r="D10" s="11">
        <f>(баланс!D12+баланс!E12)/2</f>
        <v>17777.5</v>
      </c>
      <c r="E10" s="3"/>
      <c r="F10" s="3"/>
      <c r="G10" s="7"/>
      <c r="L10" s="3"/>
    </row>
    <row r="11" spans="1:12" ht="12.75">
      <c r="A11" s="9" t="s">
        <v>22</v>
      </c>
      <c r="B11" s="8">
        <v>1140</v>
      </c>
      <c r="C11" s="11">
        <f>(баланс!C13+баланс!D13)/2</f>
        <v>0</v>
      </c>
      <c r="D11" s="11">
        <f>(баланс!D13+баланс!E13)/2</f>
        <v>0</v>
      </c>
      <c r="E11" s="3"/>
      <c r="F11" s="3"/>
      <c r="G11" s="7"/>
      <c r="L11" s="3"/>
    </row>
    <row r="12" spans="1:12" ht="12.75">
      <c r="A12" s="9" t="s">
        <v>23</v>
      </c>
      <c r="B12" s="8">
        <v>1150</v>
      </c>
      <c r="C12" s="11">
        <f>(баланс!C14+баланс!D14)/2</f>
        <v>348</v>
      </c>
      <c r="D12" s="11">
        <f>(баланс!D14+баланс!E14)/2</f>
        <v>356.5</v>
      </c>
      <c r="E12" s="3"/>
      <c r="F12" s="3"/>
      <c r="G12" s="7"/>
      <c r="L12" s="3"/>
    </row>
    <row r="13" spans="1:12" ht="12.75">
      <c r="A13" s="9" t="s">
        <v>24</v>
      </c>
      <c r="B13" s="8">
        <v>1160</v>
      </c>
      <c r="C13" s="11">
        <f>(баланс!C15+баланс!D15)/2</f>
        <v>392</v>
      </c>
      <c r="D13" s="11">
        <f>(баланс!D15+баланс!E15)/2</f>
        <v>503.5</v>
      </c>
      <c r="E13" s="3"/>
      <c r="F13" s="3"/>
      <c r="G13" s="7"/>
      <c r="L13" s="3"/>
    </row>
    <row r="14" spans="1:12" ht="12.75">
      <c r="A14" s="9" t="s">
        <v>25</v>
      </c>
      <c r="B14" s="8">
        <v>1170</v>
      </c>
      <c r="C14" s="11">
        <f>(баланс!C16+баланс!D16)/2</f>
        <v>0</v>
      </c>
      <c r="D14" s="11">
        <f>(баланс!D16+баланс!E16)/2</f>
        <v>0</v>
      </c>
      <c r="E14" s="3"/>
      <c r="F14" s="3"/>
      <c r="G14" s="7"/>
      <c r="L14" s="3"/>
    </row>
    <row r="15" spans="1:12" ht="12.75">
      <c r="A15" s="9" t="s">
        <v>26</v>
      </c>
      <c r="B15" s="8">
        <v>1100</v>
      </c>
      <c r="C15" s="11">
        <f>SUM(C6:C14)</f>
        <v>17877</v>
      </c>
      <c r="D15" s="11">
        <f>SUM(D6:D14)</f>
        <v>18661.5</v>
      </c>
      <c r="E15" s="3"/>
      <c r="F15" s="3"/>
      <c r="G15" s="7"/>
      <c r="L15" s="3"/>
    </row>
    <row r="16" spans="1:12" ht="12.75">
      <c r="A16" s="9" t="s">
        <v>27</v>
      </c>
      <c r="B16" s="10"/>
      <c r="C16" s="11"/>
      <c r="D16" s="11"/>
      <c r="E16" s="3"/>
      <c r="F16" s="3"/>
      <c r="G16" s="7"/>
      <c r="L16" s="3"/>
    </row>
    <row r="17" spans="1:12" ht="12.75">
      <c r="A17" s="9" t="s">
        <v>28</v>
      </c>
      <c r="B17" s="8">
        <v>1210</v>
      </c>
      <c r="C17" s="11">
        <f>(баланс!C19+баланс!D19)/2</f>
        <v>20375.2</v>
      </c>
      <c r="D17" s="11">
        <f>(баланс!D19+баланс!E19)/2</f>
        <v>30839.5</v>
      </c>
      <c r="E17" s="3"/>
      <c r="F17" s="3"/>
      <c r="G17" s="7"/>
      <c r="L17" s="3"/>
    </row>
    <row r="18" spans="1:12" ht="25.5">
      <c r="A18" s="9" t="s">
        <v>29</v>
      </c>
      <c r="B18" s="8">
        <v>1220</v>
      </c>
      <c r="C18" s="11">
        <f>(баланс!C20+баланс!D20)/2</f>
        <v>428.7</v>
      </c>
      <c r="D18" s="11">
        <f>(баланс!D20+баланс!E20)/2</f>
        <v>63</v>
      </c>
      <c r="E18" s="12"/>
      <c r="F18" s="3"/>
      <c r="G18" s="7"/>
      <c r="L18" s="3"/>
    </row>
    <row r="19" spans="1:12" ht="12.75">
      <c r="A19" s="9" t="s">
        <v>30</v>
      </c>
      <c r="B19" s="8">
        <v>1230</v>
      </c>
      <c r="C19" s="11">
        <f>(баланс!C21+баланс!D21)/2</f>
        <v>10552.5</v>
      </c>
      <c r="D19" s="11">
        <f>(баланс!D21+баланс!E21)/2</f>
        <v>16066.5</v>
      </c>
      <c r="E19" s="3"/>
      <c r="F19" s="3"/>
      <c r="G19" s="7"/>
      <c r="L19" s="3"/>
    </row>
    <row r="20" spans="1:12" ht="25.5">
      <c r="A20" s="9" t="s">
        <v>31</v>
      </c>
      <c r="B20" s="8">
        <v>1240</v>
      </c>
      <c r="C20" s="11">
        <f>(баланс!C22+баланс!D22)/2</f>
        <v>1182.5</v>
      </c>
      <c r="D20" s="11">
        <f>(баланс!D22+баланс!E22)/2</f>
        <v>300</v>
      </c>
      <c r="E20" s="3"/>
      <c r="F20" s="3"/>
      <c r="G20" s="7"/>
      <c r="L20" s="3"/>
    </row>
    <row r="21" spans="1:12" ht="12.75">
      <c r="A21" s="9" t="s">
        <v>32</v>
      </c>
      <c r="B21" s="8">
        <v>1250</v>
      </c>
      <c r="C21" s="11">
        <f>(баланс!C23+баланс!D23)/2</f>
        <v>3169.5</v>
      </c>
      <c r="D21" s="11">
        <f>(баланс!D23+баланс!E23)/2</f>
        <v>7517</v>
      </c>
      <c r="E21" s="3"/>
      <c r="F21" s="3"/>
      <c r="G21" s="7"/>
      <c r="L21" s="3"/>
    </row>
    <row r="22" spans="1:12" ht="12.75">
      <c r="A22" s="9" t="s">
        <v>33</v>
      </c>
      <c r="B22" s="8">
        <v>1260</v>
      </c>
      <c r="C22" s="11">
        <f>(баланс!C24+баланс!D24)/2</f>
        <v>25.5</v>
      </c>
      <c r="D22" s="11">
        <f>(баланс!D24+баланс!E24)/2</f>
        <v>36.5</v>
      </c>
      <c r="E22" s="3"/>
      <c r="F22" s="3"/>
      <c r="G22" s="7"/>
      <c r="L22" s="3"/>
    </row>
    <row r="23" spans="1:12" ht="12.75">
      <c r="A23" s="9" t="s">
        <v>34</v>
      </c>
      <c r="B23" s="8">
        <v>1200</v>
      </c>
      <c r="C23" s="11">
        <f>SUM(C17:C22)</f>
        <v>35733.9</v>
      </c>
      <c r="D23" s="11">
        <f>SUM(D17:D22)</f>
        <v>54822.5</v>
      </c>
      <c r="E23" s="3"/>
      <c r="F23" s="3"/>
      <c r="G23" s="7"/>
      <c r="L23" s="3"/>
    </row>
    <row r="24" spans="1:12" ht="12.75">
      <c r="A24" s="9" t="s">
        <v>35</v>
      </c>
      <c r="B24" s="8">
        <v>1600</v>
      </c>
      <c r="C24" s="11">
        <f>C15+C23</f>
        <v>53610.9</v>
      </c>
      <c r="D24" s="11">
        <f>D15+D23</f>
        <v>73484</v>
      </c>
      <c r="E24" s="3"/>
      <c r="F24" s="3"/>
      <c r="G24" s="7"/>
      <c r="L24" s="3"/>
    </row>
    <row r="25" spans="2:12" ht="12.75">
      <c r="B25" s="3"/>
      <c r="C25" s="3"/>
      <c r="D25" s="5"/>
      <c r="E25" s="3"/>
      <c r="F25" s="3"/>
      <c r="G25" s="7"/>
      <c r="L25" s="3"/>
    </row>
    <row r="26" spans="1:12" ht="25.5">
      <c r="A26" s="133" t="s">
        <v>14</v>
      </c>
      <c r="B26" s="135" t="s">
        <v>15</v>
      </c>
      <c r="C26" s="77" t="s">
        <v>129</v>
      </c>
      <c r="D26" s="77" t="s">
        <v>129</v>
      </c>
      <c r="E26" s="3"/>
      <c r="F26" s="3"/>
      <c r="G26" s="7"/>
      <c r="L26" s="3"/>
    </row>
    <row r="27" spans="1:12" ht="12.75">
      <c r="A27" s="134"/>
      <c r="B27" s="136"/>
      <c r="C27" s="78">
        <f>C3</f>
        <v>2016</v>
      </c>
      <c r="D27" s="78">
        <f>D3</f>
        <v>2017</v>
      </c>
      <c r="E27" s="3"/>
      <c r="F27" s="3"/>
      <c r="G27" s="7"/>
      <c r="L27" s="3"/>
    </row>
    <row r="28" spans="1:12" ht="12.75">
      <c r="A28" s="8">
        <v>1</v>
      </c>
      <c r="B28" s="8">
        <v>2</v>
      </c>
      <c r="C28" s="8">
        <v>3</v>
      </c>
      <c r="D28" s="8">
        <v>4</v>
      </c>
      <c r="E28" s="3"/>
      <c r="F28" s="3"/>
      <c r="G28" s="7"/>
      <c r="L28" s="3"/>
    </row>
    <row r="29" spans="1:12" ht="12.75">
      <c r="A29" s="9" t="s">
        <v>37</v>
      </c>
      <c r="B29" s="10"/>
      <c r="C29" s="10"/>
      <c r="D29" s="10"/>
      <c r="E29" s="3"/>
      <c r="F29" s="3"/>
      <c r="G29" s="7"/>
      <c r="L29" s="3"/>
    </row>
    <row r="30" spans="1:12" ht="25.5">
      <c r="A30" s="9" t="s">
        <v>38</v>
      </c>
      <c r="B30" s="8">
        <v>1310</v>
      </c>
      <c r="C30" s="11">
        <f>(баланс!C31+баланс!D31)/2</f>
        <v>1759</v>
      </c>
      <c r="D30" s="11">
        <f>(баланс!D31+баланс!E31)/2</f>
        <v>1759</v>
      </c>
      <c r="E30" s="3"/>
      <c r="F30" s="3"/>
      <c r="G30" s="7"/>
      <c r="L30" s="3"/>
    </row>
    <row r="31" spans="1:12" ht="12.75">
      <c r="A31" s="9" t="s">
        <v>39</v>
      </c>
      <c r="B31" s="8">
        <v>1320</v>
      </c>
      <c r="C31" s="11">
        <f>(баланс!C32+баланс!D32)/2</f>
        <v>0</v>
      </c>
      <c r="D31" s="11">
        <f>(баланс!D32+баланс!E32)/2</f>
        <v>0</v>
      </c>
      <c r="E31" s="3"/>
      <c r="F31" s="3"/>
      <c r="G31" s="7"/>
      <c r="L31" s="3"/>
    </row>
    <row r="32" spans="1:12" ht="12.75">
      <c r="A32" s="9" t="s">
        <v>40</v>
      </c>
      <c r="B32" s="8">
        <v>1340</v>
      </c>
      <c r="C32" s="11">
        <f>(баланс!C33+баланс!D33)/2</f>
        <v>0</v>
      </c>
      <c r="D32" s="11">
        <f>(баланс!D33+баланс!E33)/2</f>
        <v>0</v>
      </c>
      <c r="E32" s="3"/>
      <c r="F32" s="3"/>
      <c r="G32" s="7"/>
      <c r="L32" s="3"/>
    </row>
    <row r="33" spans="1:12" ht="12.75">
      <c r="A33" s="9" t="s">
        <v>41</v>
      </c>
      <c r="B33" s="8">
        <v>1350</v>
      </c>
      <c r="C33" s="11">
        <f>(баланс!C34+баланс!D34)/2</f>
        <v>23004</v>
      </c>
      <c r="D33" s="11">
        <f>(баланс!D34+баланс!E34)/2</f>
        <v>22293.5</v>
      </c>
      <c r="E33" s="3"/>
      <c r="F33" s="3"/>
      <c r="G33" s="3"/>
      <c r="L33" s="3"/>
    </row>
    <row r="34" spans="1:12" ht="12.75">
      <c r="A34" s="9" t="s">
        <v>42</v>
      </c>
      <c r="B34" s="8">
        <v>1360</v>
      </c>
      <c r="C34" s="11">
        <f>(баланс!C35+баланс!D35)/2</f>
        <v>44</v>
      </c>
      <c r="D34" s="11">
        <f>(баланс!D35+баланс!E35)/2</f>
        <v>88</v>
      </c>
      <c r="E34" s="3"/>
      <c r="F34" s="3"/>
      <c r="G34" s="3"/>
      <c r="L34" s="3"/>
    </row>
    <row r="35" spans="1:12" ht="25.5">
      <c r="A35" s="9" t="s">
        <v>43</v>
      </c>
      <c r="B35" s="8">
        <v>1370</v>
      </c>
      <c r="C35" s="11">
        <f>(баланс!C36+баланс!D36)/2</f>
        <v>16928.5</v>
      </c>
      <c r="D35" s="11">
        <f>(баланс!D36+баланс!E36)/2</f>
        <v>24146</v>
      </c>
      <c r="E35" s="3"/>
      <c r="F35" s="3"/>
      <c r="G35" s="3"/>
      <c r="L35" s="3"/>
    </row>
    <row r="36" spans="1:12" ht="25.5">
      <c r="A36" s="9" t="s">
        <v>44</v>
      </c>
      <c r="B36" s="8">
        <v>1371</v>
      </c>
      <c r="C36" s="11">
        <f>(баланс!C37+баланс!D37)/2</f>
        <v>0</v>
      </c>
      <c r="D36" s="11">
        <f>(баланс!D37+баланс!E37)/2</f>
        <v>0</v>
      </c>
      <c r="E36" s="3"/>
      <c r="F36" s="3"/>
      <c r="G36" s="7"/>
      <c r="L36" s="3"/>
    </row>
    <row r="37" spans="1:12" ht="12.75">
      <c r="A37" s="9" t="s">
        <v>45</v>
      </c>
      <c r="B37" s="8">
        <v>1300</v>
      </c>
      <c r="C37" s="11">
        <f>SUM(C30:C35)</f>
        <v>41735.5</v>
      </c>
      <c r="D37" s="11">
        <f>SUM(D30:D35)</f>
        <v>48286.5</v>
      </c>
      <c r="E37" s="3"/>
      <c r="F37" s="3"/>
      <c r="G37" s="7"/>
      <c r="L37" s="3"/>
    </row>
    <row r="38" spans="1:12" ht="24" customHeight="1">
      <c r="A38" s="9" t="s">
        <v>46</v>
      </c>
      <c r="B38" s="8"/>
      <c r="C38" s="11"/>
      <c r="D38" s="11"/>
      <c r="E38" s="3"/>
      <c r="F38" s="3"/>
      <c r="G38" s="7"/>
      <c r="L38" s="3"/>
    </row>
    <row r="39" spans="1:12" ht="12.75">
      <c r="A39" s="9" t="s">
        <v>47</v>
      </c>
      <c r="B39" s="8">
        <v>1410</v>
      </c>
      <c r="C39" s="11">
        <f>(баланс!C40+баланс!D40)/2</f>
        <v>0</v>
      </c>
      <c r="D39" s="11">
        <f>(баланс!D40+баланс!E40)/2</f>
        <v>0</v>
      </c>
      <c r="E39" s="3"/>
      <c r="F39" s="3"/>
      <c r="G39" s="7"/>
      <c r="L39" s="3"/>
    </row>
    <row r="40" spans="1:12" ht="12.75">
      <c r="A40" s="9" t="s">
        <v>48</v>
      </c>
      <c r="B40" s="8">
        <v>1420</v>
      </c>
      <c r="C40" s="11">
        <f>(баланс!C41+баланс!D41)/2</f>
        <v>748</v>
      </c>
      <c r="D40" s="11">
        <f>(баланс!D41+баланс!E41)/2</f>
        <v>1218</v>
      </c>
      <c r="E40" s="3"/>
      <c r="F40" s="3"/>
      <c r="G40" s="7"/>
      <c r="L40" s="3"/>
    </row>
    <row r="41" spans="1:12" ht="12.75">
      <c r="A41" s="9" t="s">
        <v>49</v>
      </c>
      <c r="B41" s="8">
        <v>1430</v>
      </c>
      <c r="C41" s="11">
        <f>(баланс!C42+баланс!D42)/2</f>
        <v>0</v>
      </c>
      <c r="D41" s="11">
        <f>(баланс!D42+баланс!E42)/2</f>
        <v>0</v>
      </c>
      <c r="E41" s="3"/>
      <c r="F41" s="3"/>
      <c r="G41" s="7"/>
      <c r="L41" s="3"/>
    </row>
    <row r="42" spans="1:12" ht="12.75">
      <c r="A42" s="9" t="s">
        <v>50</v>
      </c>
      <c r="B42" s="8">
        <v>1450</v>
      </c>
      <c r="C42" s="11">
        <f>(баланс!C43+баланс!D43)/2</f>
        <v>0</v>
      </c>
      <c r="D42" s="11">
        <f>(баланс!D43+баланс!E43)/2</f>
        <v>0</v>
      </c>
      <c r="E42" s="3"/>
      <c r="F42" s="3"/>
      <c r="G42" s="7"/>
      <c r="L42" s="3"/>
    </row>
    <row r="43" spans="1:12" ht="12.75">
      <c r="A43" s="9" t="s">
        <v>51</v>
      </c>
      <c r="B43" s="8">
        <v>1400</v>
      </c>
      <c r="C43" s="11">
        <f>SUM(C39:C42)</f>
        <v>748</v>
      </c>
      <c r="D43" s="11">
        <f>SUM(D39:D42)</f>
        <v>1218</v>
      </c>
      <c r="E43" s="3"/>
      <c r="F43" s="3"/>
      <c r="G43" s="7"/>
      <c r="L43" s="3"/>
    </row>
    <row r="44" spans="1:12" ht="12.75">
      <c r="A44" s="9" t="s">
        <v>52</v>
      </c>
      <c r="B44" s="8"/>
      <c r="C44" s="11"/>
      <c r="D44" s="11"/>
      <c r="E44" s="3"/>
      <c r="F44" s="3"/>
      <c r="G44" s="7"/>
      <c r="L44" s="3"/>
    </row>
    <row r="45" spans="1:12" ht="12.75">
      <c r="A45" s="9" t="s">
        <v>47</v>
      </c>
      <c r="B45" s="8">
        <v>1510</v>
      </c>
      <c r="C45" s="11">
        <f>(баланс!C46+баланс!D46)/2</f>
        <v>0</v>
      </c>
      <c r="D45" s="11">
        <f>(баланс!D46+баланс!E46)/2</f>
        <v>0</v>
      </c>
      <c r="E45" s="3"/>
      <c r="F45" s="3"/>
      <c r="G45" s="7"/>
      <c r="L45" s="3"/>
    </row>
    <row r="46" spans="1:12" ht="12.75">
      <c r="A46" s="9" t="s">
        <v>53</v>
      </c>
      <c r="B46" s="8">
        <v>1520</v>
      </c>
      <c r="C46" s="11">
        <f>(баланс!C47+баланс!D47)/2</f>
        <v>11089.5</v>
      </c>
      <c r="D46" s="11">
        <f>(баланс!D47+баланс!E47)/2</f>
        <v>23935</v>
      </c>
      <c r="E46" s="3"/>
      <c r="F46" s="3"/>
      <c r="G46" s="7"/>
      <c r="L46" s="3"/>
    </row>
    <row r="47" spans="1:12" ht="12.75">
      <c r="A47" s="9" t="s">
        <v>54</v>
      </c>
      <c r="B47" s="8">
        <v>1530</v>
      </c>
      <c r="C47" s="11">
        <f>(баланс!C48+баланс!D48)/2</f>
        <v>0</v>
      </c>
      <c r="D47" s="11">
        <f>(баланс!D48+баланс!E48)/2</f>
        <v>0</v>
      </c>
      <c r="E47" s="3"/>
      <c r="F47" s="7"/>
      <c r="G47" s="3"/>
      <c r="L47" s="3"/>
    </row>
    <row r="48" spans="1:12" ht="12.75">
      <c r="A48" s="9" t="s">
        <v>49</v>
      </c>
      <c r="B48" s="8">
        <v>1540</v>
      </c>
      <c r="C48" s="11">
        <f>(баланс!C49+баланс!D49)/2</f>
        <v>0</v>
      </c>
      <c r="D48" s="11">
        <f>(баланс!D49+баланс!E49)/2</f>
        <v>0</v>
      </c>
      <c r="E48" s="3"/>
      <c r="F48" s="3"/>
      <c r="G48" s="7"/>
      <c r="L48" s="3"/>
    </row>
    <row r="49" spans="1:12" ht="12.75">
      <c r="A49" s="9" t="s">
        <v>50</v>
      </c>
      <c r="B49" s="8">
        <v>1550</v>
      </c>
      <c r="C49" s="11">
        <f>(баланс!C50+баланс!D50)/2</f>
        <v>38</v>
      </c>
      <c r="D49" s="11">
        <f>(баланс!D50+баланс!E50)/2</f>
        <v>44.5</v>
      </c>
      <c r="E49" s="3"/>
      <c r="F49" s="3"/>
      <c r="G49" s="7"/>
      <c r="L49" s="3"/>
    </row>
    <row r="50" spans="1:12" ht="12.75">
      <c r="A50" s="9" t="s">
        <v>55</v>
      </c>
      <c r="B50" s="8">
        <v>1500</v>
      </c>
      <c r="C50" s="11">
        <f>SUM(C45:C49)</f>
        <v>11127.5</v>
      </c>
      <c r="D50" s="11">
        <f>SUM(D45:D49)</f>
        <v>23979.5</v>
      </c>
      <c r="E50" s="3"/>
      <c r="F50" s="3"/>
      <c r="G50" s="7"/>
      <c r="L50" s="3"/>
    </row>
    <row r="51" spans="1:12" ht="12.75">
      <c r="A51" s="9" t="s">
        <v>56</v>
      </c>
      <c r="B51" s="8">
        <v>1700</v>
      </c>
      <c r="C51" s="11">
        <f>C37+C43+C50</f>
        <v>53611</v>
      </c>
      <c r="D51" s="11">
        <f>D37+D43+D50</f>
        <v>73484</v>
      </c>
      <c r="E51" s="3"/>
      <c r="F51" s="3"/>
      <c r="G51" s="3"/>
      <c r="H51" s="7"/>
      <c r="L51" s="3"/>
    </row>
    <row r="52" spans="2:12" ht="12.75">
      <c r="B52" s="5"/>
      <c r="C52" s="5">
        <f>C24-C51</f>
        <v>-0.09999999999854481</v>
      </c>
      <c r="D52" s="5">
        <f>D24-D51</f>
        <v>0</v>
      </c>
      <c r="E52" s="3"/>
      <c r="F52" s="3"/>
      <c r="G52" s="3"/>
      <c r="H52" s="7"/>
      <c r="L52" s="3"/>
    </row>
    <row r="53" spans="3:4" ht="12.75">
      <c r="C53" s="5"/>
      <c r="D53" s="5"/>
    </row>
  </sheetData>
  <sheetProtection/>
  <mergeCells count="4">
    <mergeCell ref="A2:A3"/>
    <mergeCell ref="B2:B3"/>
    <mergeCell ref="A26:A27"/>
    <mergeCell ref="B26:B27"/>
  </mergeCells>
  <printOptions/>
  <pageMargins left="0.75" right="0.75" top="0.49" bottom="0.5" header="0.5" footer="0.5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E17" sqref="E17"/>
    </sheetView>
  </sheetViews>
  <sheetFormatPr defaultColWidth="9.00390625" defaultRowHeight="12.75"/>
  <cols>
    <col min="1" max="2" width="9.125" style="60" customWidth="1"/>
    <col min="3" max="5" width="12.375" style="60" bestFit="1" customWidth="1"/>
    <col min="6" max="6" width="9.125" style="60" customWidth="1"/>
    <col min="7" max="7" width="8.00390625" style="60" customWidth="1"/>
    <col min="8" max="10" width="12.375" style="60" bestFit="1" customWidth="1"/>
    <col min="11" max="13" width="11.00390625" style="60" bestFit="1" customWidth="1"/>
    <col min="14" max="16384" width="9.125" style="60" customWidth="1"/>
  </cols>
  <sheetData>
    <row r="1" spans="1:13" ht="26.25" customHeight="1">
      <c r="A1" s="137" t="s">
        <v>80</v>
      </c>
      <c r="B1" s="137"/>
      <c r="C1" s="137"/>
      <c r="D1" s="137"/>
      <c r="E1" s="137"/>
      <c r="F1" s="137" t="s">
        <v>81</v>
      </c>
      <c r="G1" s="137"/>
      <c r="H1" s="137"/>
      <c r="I1" s="137"/>
      <c r="J1" s="137"/>
      <c r="K1" s="137" t="s">
        <v>82</v>
      </c>
      <c r="L1" s="137"/>
      <c r="M1" s="137"/>
    </row>
    <row r="2" spans="1:13" s="63" customFormat="1" ht="12.75">
      <c r="A2" s="59" t="s">
        <v>83</v>
      </c>
      <c r="B2" s="59" t="s">
        <v>84</v>
      </c>
      <c r="C2" s="61">
        <v>2015</v>
      </c>
      <c r="D2" s="61">
        <v>2016</v>
      </c>
      <c r="E2" s="61">
        <v>2017</v>
      </c>
      <c r="F2" s="59" t="s">
        <v>83</v>
      </c>
      <c r="G2" s="59" t="s">
        <v>84</v>
      </c>
      <c r="H2" s="61">
        <f>C2</f>
        <v>2015</v>
      </c>
      <c r="I2" s="61">
        <f>D2</f>
        <v>2016</v>
      </c>
      <c r="J2" s="61">
        <f>E2</f>
        <v>2017</v>
      </c>
      <c r="K2" s="62"/>
      <c r="L2" s="62"/>
      <c r="M2" s="62"/>
    </row>
    <row r="3" spans="1:13" ht="12.75">
      <c r="A3" s="64" t="s">
        <v>85</v>
      </c>
      <c r="B3" s="59" t="s">
        <v>86</v>
      </c>
      <c r="C3" s="65">
        <f>баланс!C23+баланс!C22</f>
        <v>3221</v>
      </c>
      <c r="D3" s="65">
        <f>баланс!D23+баланс!D22</f>
        <v>5483</v>
      </c>
      <c r="E3" s="65">
        <f>баланс!E23+баланс!E22</f>
        <v>10151</v>
      </c>
      <c r="F3" s="66" t="s">
        <v>87</v>
      </c>
      <c r="G3" s="59">
        <v>1520</v>
      </c>
      <c r="H3" s="65">
        <f>баланс!C47</f>
        <v>4694</v>
      </c>
      <c r="I3" s="65">
        <f>баланс!D47</f>
        <v>17485</v>
      </c>
      <c r="J3" s="65">
        <f>баланс!E47</f>
        <v>30385</v>
      </c>
      <c r="K3" s="65">
        <f aca="true" t="shared" si="0" ref="K3:M6">C3-H3</f>
        <v>-1473</v>
      </c>
      <c r="L3" s="65">
        <f t="shared" si="0"/>
        <v>-12002</v>
      </c>
      <c r="M3" s="65">
        <f t="shared" si="0"/>
        <v>-20234</v>
      </c>
    </row>
    <row r="4" spans="1:13" ht="25.5">
      <c r="A4" s="64" t="s">
        <v>88</v>
      </c>
      <c r="B4" s="59">
        <v>1230</v>
      </c>
      <c r="C4" s="65">
        <f>баланс!C21</f>
        <v>7673</v>
      </c>
      <c r="D4" s="65">
        <f>баланс!D21</f>
        <v>13432</v>
      </c>
      <c r="E4" s="65">
        <f>баланс!E21</f>
        <v>18701</v>
      </c>
      <c r="F4" s="66" t="s">
        <v>89</v>
      </c>
      <c r="G4" s="59" t="s">
        <v>90</v>
      </c>
      <c r="H4" s="65">
        <f>баланс!C46+баланс!C49+баланс!C50</f>
        <v>31</v>
      </c>
      <c r="I4" s="65">
        <f>баланс!D46+баланс!D49+баланс!D50</f>
        <v>45</v>
      </c>
      <c r="J4" s="65">
        <f>баланс!E46+баланс!E49+баланс!E50</f>
        <v>44</v>
      </c>
      <c r="K4" s="65">
        <f t="shared" si="0"/>
        <v>7642</v>
      </c>
      <c r="L4" s="65">
        <f t="shared" si="0"/>
        <v>13387</v>
      </c>
      <c r="M4" s="65">
        <f t="shared" si="0"/>
        <v>18657</v>
      </c>
    </row>
    <row r="5" spans="1:13" ht="38.25">
      <c r="A5" s="64" t="s">
        <v>91</v>
      </c>
      <c r="B5" s="59" t="s">
        <v>92</v>
      </c>
      <c r="C5" s="65">
        <f>баланс!C19+баланс!C20+баланс!C24</f>
        <v>17289.800000000003</v>
      </c>
      <c r="D5" s="65">
        <f>баланс!D19+баланс!D20+баланс!D24</f>
        <v>24369</v>
      </c>
      <c r="E5" s="65">
        <f>баланс!E19+баланс!E20+баланс!E24</f>
        <v>37509</v>
      </c>
      <c r="F5" s="66" t="s">
        <v>93</v>
      </c>
      <c r="G5" s="59">
        <v>1400</v>
      </c>
      <c r="H5" s="65">
        <f>баланс!C44</f>
        <v>392</v>
      </c>
      <c r="I5" s="65">
        <f>баланс!D44</f>
        <v>1104</v>
      </c>
      <c r="J5" s="65">
        <f>баланс!E44</f>
        <v>1332</v>
      </c>
      <c r="K5" s="65">
        <f t="shared" si="0"/>
        <v>16897.800000000003</v>
      </c>
      <c r="L5" s="65">
        <f t="shared" si="0"/>
        <v>23265</v>
      </c>
      <c r="M5" s="65">
        <f t="shared" si="0"/>
        <v>36177</v>
      </c>
    </row>
    <row r="6" spans="1:13" ht="25.5">
      <c r="A6" s="64" t="s">
        <v>94</v>
      </c>
      <c r="B6" s="59">
        <v>1100</v>
      </c>
      <c r="C6" s="65">
        <f>баланс!C17</f>
        <v>17381</v>
      </c>
      <c r="D6" s="65">
        <f>баланс!D17</f>
        <v>18373</v>
      </c>
      <c r="E6" s="65">
        <f>баланс!E17</f>
        <v>18950</v>
      </c>
      <c r="F6" s="66" t="s">
        <v>95</v>
      </c>
      <c r="G6" s="59" t="s">
        <v>96</v>
      </c>
      <c r="H6" s="65">
        <f>баланс!C38+баланс!C48</f>
        <v>40448</v>
      </c>
      <c r="I6" s="65">
        <f>баланс!D38+баланс!D48</f>
        <v>43023</v>
      </c>
      <c r="J6" s="65">
        <f>баланс!E38+баланс!E48</f>
        <v>53550</v>
      </c>
      <c r="K6" s="65">
        <f t="shared" si="0"/>
        <v>-23067</v>
      </c>
      <c r="L6" s="65">
        <f t="shared" si="0"/>
        <v>-24650</v>
      </c>
      <c r="M6" s="65">
        <f t="shared" si="0"/>
        <v>-34600</v>
      </c>
    </row>
    <row r="7" spans="1:13" s="69" customFormat="1" ht="12.75">
      <c r="A7" s="67" t="s">
        <v>97</v>
      </c>
      <c r="B7" s="59"/>
      <c r="C7" s="68">
        <f>SUM(C3:C6)</f>
        <v>45564.8</v>
      </c>
      <c r="D7" s="68">
        <f>SUM(D3:D6)</f>
        <v>61657</v>
      </c>
      <c r="E7" s="68">
        <f>SUM(E3:E6)</f>
        <v>85311</v>
      </c>
      <c r="F7" s="67" t="s">
        <v>97</v>
      </c>
      <c r="G7" s="59"/>
      <c r="H7" s="68">
        <f aca="true" t="shared" si="1" ref="H7:M7">SUM(H3:H6)</f>
        <v>45565</v>
      </c>
      <c r="I7" s="68">
        <f t="shared" si="1"/>
        <v>61657</v>
      </c>
      <c r="J7" s="68">
        <f t="shared" si="1"/>
        <v>85311</v>
      </c>
      <c r="K7" s="66">
        <v>0</v>
      </c>
      <c r="L7" s="66">
        <f t="shared" si="1"/>
        <v>0</v>
      </c>
      <c r="M7" s="66">
        <f t="shared" si="1"/>
        <v>0</v>
      </c>
    </row>
    <row r="8" spans="8:10" ht="12.75">
      <c r="H8" s="70">
        <f>H7-C7</f>
        <v>0.19999999999708962</v>
      </c>
      <c r="I8" s="70">
        <f>I7-D7</f>
        <v>0</v>
      </c>
      <c r="J8" s="70">
        <f>J7-E7</f>
        <v>0</v>
      </c>
    </row>
  </sheetData>
  <mergeCells count="3">
    <mergeCell ref="K1:M1"/>
    <mergeCell ref="A1:E1"/>
    <mergeCell ref="F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17" sqref="B17"/>
    </sheetView>
  </sheetViews>
  <sheetFormatPr defaultColWidth="9.00390625" defaultRowHeight="12.75"/>
  <cols>
    <col min="1" max="1" width="47.875" style="60" customWidth="1"/>
    <col min="2" max="2" width="23.125" style="60" customWidth="1"/>
    <col min="3" max="3" width="10.125" style="60" bestFit="1" customWidth="1"/>
    <col min="4" max="4" width="9.625" style="60" bestFit="1" customWidth="1"/>
    <col min="5" max="5" width="10.125" style="60" bestFit="1" customWidth="1"/>
    <col min="6" max="6" width="13.125" style="60" customWidth="1"/>
    <col min="7" max="7" width="11.75390625" style="60" customWidth="1"/>
    <col min="8" max="16384" width="9.125" style="60" customWidth="1"/>
  </cols>
  <sheetData>
    <row r="1" spans="1:7" ht="12.75">
      <c r="A1" s="138" t="s">
        <v>14</v>
      </c>
      <c r="B1" s="138" t="s">
        <v>98</v>
      </c>
      <c r="C1" s="112">
        <f>'[2]Горизонтальный анализ'!D1:D3</f>
        <v>2015</v>
      </c>
      <c r="D1" s="112">
        <f>'[2]Горизонтальный анализ'!E1:E3</f>
        <v>2016</v>
      </c>
      <c r="E1" s="112">
        <f>'[2]Горизонтальный анализ'!F1:F3</f>
        <v>2017</v>
      </c>
      <c r="F1" s="113" t="s">
        <v>79</v>
      </c>
      <c r="G1" s="113"/>
    </row>
    <row r="2" spans="1:7" ht="12.75">
      <c r="A2" s="138"/>
      <c r="B2" s="138"/>
      <c r="C2" s="113"/>
      <c r="D2" s="113"/>
      <c r="E2" s="113"/>
      <c r="F2" s="67"/>
      <c r="G2" s="67"/>
    </row>
    <row r="3" spans="1:7" ht="38.25">
      <c r="A3" s="71" t="s">
        <v>99</v>
      </c>
      <c r="B3" s="71" t="s">
        <v>100</v>
      </c>
      <c r="C3" s="72">
        <f>баланс!C38+баланс!C48-баланс!C17</f>
        <v>23067</v>
      </c>
      <c r="D3" s="72">
        <f>баланс!D38+баланс!D48-баланс!D17</f>
        <v>24650</v>
      </c>
      <c r="E3" s="72">
        <f>баланс!E38+баланс!E48-баланс!E17</f>
        <v>34600</v>
      </c>
      <c r="F3" s="72">
        <f aca="true" t="shared" si="0" ref="F3:G9">C3-D3</f>
        <v>-1583</v>
      </c>
      <c r="G3" s="72">
        <f t="shared" si="0"/>
        <v>-9950</v>
      </c>
    </row>
    <row r="4" spans="1:7" ht="51">
      <c r="A4" s="71" t="s">
        <v>101</v>
      </c>
      <c r="B4" s="71" t="s">
        <v>102</v>
      </c>
      <c r="C4" s="72">
        <f>C3+баланс!C44</f>
        <v>23459</v>
      </c>
      <c r="D4" s="72">
        <f>D3+баланс!D44</f>
        <v>25754</v>
      </c>
      <c r="E4" s="72">
        <f>E3+баланс!E44</f>
        <v>35932</v>
      </c>
      <c r="F4" s="72">
        <f t="shared" si="0"/>
        <v>-2295</v>
      </c>
      <c r="G4" s="72">
        <f t="shared" si="0"/>
        <v>-10178</v>
      </c>
    </row>
    <row r="5" spans="1:7" ht="63.75">
      <c r="A5" s="71" t="s">
        <v>103</v>
      </c>
      <c r="B5" s="71" t="s">
        <v>104</v>
      </c>
      <c r="C5" s="72">
        <f>C4+баланс!C46</f>
        <v>23459</v>
      </c>
      <c r="D5" s="72">
        <f>D4+баланс!D46</f>
        <v>25754</v>
      </c>
      <c r="E5" s="72">
        <f>E4+баланс!E46</f>
        <v>35932</v>
      </c>
      <c r="F5" s="72">
        <f t="shared" si="0"/>
        <v>-2295</v>
      </c>
      <c r="G5" s="72">
        <f t="shared" si="0"/>
        <v>-10178</v>
      </c>
    </row>
    <row r="6" spans="1:7" ht="12.75">
      <c r="A6" s="71" t="s">
        <v>105</v>
      </c>
      <c r="B6" s="71" t="s">
        <v>106</v>
      </c>
      <c r="C6" s="72">
        <f>баланс!C19</f>
        <v>16519.4</v>
      </c>
      <c r="D6" s="72">
        <f>баланс!D19</f>
        <v>24231</v>
      </c>
      <c r="E6" s="72">
        <f>баланс!E19</f>
        <v>37448</v>
      </c>
      <c r="F6" s="72">
        <f t="shared" si="0"/>
        <v>-7711.5999999999985</v>
      </c>
      <c r="G6" s="72">
        <f t="shared" si="0"/>
        <v>-13217</v>
      </c>
    </row>
    <row r="7" spans="1:7" ht="25.5" customHeight="1">
      <c r="A7" s="71" t="s">
        <v>107</v>
      </c>
      <c r="B7" s="71" t="s">
        <v>108</v>
      </c>
      <c r="C7" s="72">
        <f>C3-C6</f>
        <v>6547.5999999999985</v>
      </c>
      <c r="D7" s="72">
        <f>D3-D6</f>
        <v>419</v>
      </c>
      <c r="E7" s="72">
        <f>E3-E6</f>
        <v>-2848</v>
      </c>
      <c r="F7" s="72">
        <f t="shared" si="0"/>
        <v>6128.5999999999985</v>
      </c>
      <c r="G7" s="72">
        <f t="shared" si="0"/>
        <v>3267</v>
      </c>
    </row>
    <row r="8" spans="1:7" ht="51">
      <c r="A8" s="71" t="s">
        <v>109</v>
      </c>
      <c r="B8" s="71" t="s">
        <v>110</v>
      </c>
      <c r="C8" s="72">
        <f>C4-C6</f>
        <v>6939.5999999999985</v>
      </c>
      <c r="D8" s="72">
        <f>D4-D6</f>
        <v>1523</v>
      </c>
      <c r="E8" s="72">
        <f>E4-E6</f>
        <v>-1516</v>
      </c>
      <c r="F8" s="72">
        <f t="shared" si="0"/>
        <v>5416.5999999999985</v>
      </c>
      <c r="G8" s="72">
        <f t="shared" si="0"/>
        <v>3039</v>
      </c>
    </row>
    <row r="9" spans="1:7" ht="63.75">
      <c r="A9" s="71" t="s">
        <v>111</v>
      </c>
      <c r="B9" s="71" t="s">
        <v>112</v>
      </c>
      <c r="C9" s="72">
        <f>C5-C6</f>
        <v>6939.5999999999985</v>
      </c>
      <c r="D9" s="72">
        <f>D5-D6</f>
        <v>1523</v>
      </c>
      <c r="E9" s="72">
        <f>E5-E6</f>
        <v>-1516</v>
      </c>
      <c r="F9" s="72">
        <f t="shared" si="0"/>
        <v>5416.5999999999985</v>
      </c>
      <c r="G9" s="72">
        <f t="shared" si="0"/>
        <v>3039</v>
      </c>
    </row>
    <row r="10" spans="1:7" s="69" customFormat="1" ht="12.75">
      <c r="A10" s="73" t="s">
        <v>113</v>
      </c>
      <c r="B10" s="73" t="s">
        <v>114</v>
      </c>
      <c r="C10" s="74"/>
      <c r="D10" s="74"/>
      <c r="E10" s="74"/>
      <c r="F10" s="75"/>
      <c r="G10" s="75"/>
    </row>
  </sheetData>
  <mergeCells count="6">
    <mergeCell ref="E1:E2"/>
    <mergeCell ref="F1:G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Повелитель</dc:creator>
  <cp:keywords/>
  <dc:description/>
  <cp:lastModifiedBy>Повелитель</cp:lastModifiedBy>
  <dcterms:created xsi:type="dcterms:W3CDTF">2018-10-31T17:30:22Z</dcterms:created>
  <dcterms:modified xsi:type="dcterms:W3CDTF">2019-04-19T15:49:13Z</dcterms:modified>
  <cp:category/>
  <cp:version/>
  <cp:contentType/>
  <cp:contentStatus/>
</cp:coreProperties>
</file>